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VAIO-DRIVE-LAMPTKES-2016\INSTRUMEN_KOLEGIUM_SPESIALIS_tertgl_23-03-2015\MKKI\K12-Ilmu_Bedah_anak\"/>
    </mc:Choice>
  </mc:AlternateContent>
  <bookViews>
    <workbookView xWindow="120" yWindow="360" windowWidth="11880" windowHeight="5265" tabRatio="689" activeTab="1"/>
  </bookViews>
  <sheets>
    <sheet name="F1" sheetId="1" r:id="rId1"/>
    <sheet name="hitung_F1" sheetId="11" r:id="rId2"/>
    <sheet name="F2" sheetId="2" r:id="rId3"/>
    <sheet name="F3" sheetId="3" r:id="rId4"/>
    <sheet name="hitung_F3" sheetId="12" r:id="rId5"/>
    <sheet name="F4" sheetId="4" r:id="rId6"/>
    <sheet name="F5" sheetId="5" r:id="rId7"/>
    <sheet name="F6" sheetId="19" r:id="rId8"/>
    <sheet name="F7" sheetId="20" r:id="rId9"/>
    <sheet name="F8" sheetId="21" r:id="rId10"/>
    <sheet name="F9" sheetId="22" r:id="rId11"/>
    <sheet name="Rekap_Nilai_Akreditasi" sheetId="23" r:id="rId12"/>
    <sheet name="F10_form_validator" sheetId="24" r:id="rId13"/>
    <sheet name="F11_form_validator" sheetId="25" r:id="rId14"/>
    <sheet name="F12_form_validator" sheetId="26" r:id="rId15"/>
  </sheets>
  <definedNames>
    <definedName name="_Toc206868236" localSheetId="2">'F2'!$A$1</definedName>
    <definedName name="_xlnm.Print_Area" localSheetId="0">'F1'!$A$1:$F$97</definedName>
    <definedName name="_xlnm.Print_Area" localSheetId="12">F10_form_validator!$A$1:$G$90</definedName>
    <definedName name="_xlnm.Print_Area" localSheetId="13">F11_form_validator!$A$1:$F$37</definedName>
    <definedName name="_xlnm.Print_Area" localSheetId="14">F12_form_validator!$A$1:$G$63</definedName>
    <definedName name="_xlnm.Print_Area" localSheetId="2">'F2'!$A$1:$E$38</definedName>
    <definedName name="_xlnm.Print_Area" localSheetId="3">'F3'!$A$1:$F$66</definedName>
    <definedName name="_xlnm.Print_Area" localSheetId="5">'F4'!$A$1:$E$102</definedName>
    <definedName name="_xlnm.Print_Area" localSheetId="6">'F5'!$A$1:$E$73</definedName>
    <definedName name="_xlnm.Print_Area" localSheetId="7">'F6'!$A$1:$J$105</definedName>
    <definedName name="_xlnm.Print_Area" localSheetId="8">'F7'!$A$1:$J$45</definedName>
    <definedName name="_xlnm.Print_Area" localSheetId="9">'F8'!$A$1:$J$75</definedName>
    <definedName name="_xlnm.Print_Area" localSheetId="10">'F9'!$A$1:$I$126</definedName>
    <definedName name="_xlnm.Print_Titles" localSheetId="0">'F1'!$13:$13</definedName>
    <definedName name="_xlnm.Print_Titles" localSheetId="12">F10_form_validator!$6:$6</definedName>
    <definedName name="_xlnm.Print_Titles" localSheetId="13">F11_form_validator!$10:$11</definedName>
    <definedName name="_xlnm.Print_Titles" localSheetId="14">F12_form_validator!$7:$7</definedName>
    <definedName name="_xlnm.Print_Titles" localSheetId="2">'F2'!$12:$13</definedName>
    <definedName name="_xlnm.Print_Titles" localSheetId="3">'F3'!$12:$12</definedName>
    <definedName name="_xlnm.Print_Titles" localSheetId="5">'F4'!$8:$8</definedName>
    <definedName name="_xlnm.Print_Titles" localSheetId="6">'F5'!$7:$7</definedName>
    <definedName name="_xlnm.Print_Titles" localSheetId="7">'F6'!$10:$12</definedName>
    <definedName name="_xlnm.Print_Titles" localSheetId="8">'F7'!$11:$12</definedName>
    <definedName name="_xlnm.Print_Titles" localSheetId="9">'F8'!$11:$12</definedName>
  </definedNames>
  <calcPr calcId="152511"/>
</workbook>
</file>

<file path=xl/calcChain.xml><?xml version="1.0" encoding="utf-8"?>
<calcChain xmlns="http://schemas.openxmlformats.org/spreadsheetml/2006/main">
  <c r="E389" i="11" l="1"/>
  <c r="E387" i="11"/>
  <c r="E385" i="11"/>
  <c r="E383" i="11"/>
  <c r="E393" i="11"/>
  <c r="E391" i="11"/>
  <c r="E381" i="11"/>
  <c r="E394" i="11" s="1"/>
  <c r="E367" i="11"/>
  <c r="E375" i="11"/>
  <c r="E373" i="11"/>
  <c r="E371" i="11"/>
  <c r="E369" i="11"/>
  <c r="E365" i="11"/>
  <c r="E363" i="11"/>
  <c r="E361" i="11"/>
  <c r="E357" i="11"/>
  <c r="E355" i="11"/>
  <c r="E353" i="11"/>
  <c r="E351" i="11"/>
  <c r="E349" i="11"/>
  <c r="E347" i="11"/>
  <c r="E345" i="11"/>
  <c r="E343" i="11"/>
  <c r="E335" i="11"/>
  <c r="E333" i="11"/>
  <c r="E331" i="11"/>
  <c r="E327" i="11"/>
  <c r="E329" i="11"/>
  <c r="E325" i="11"/>
  <c r="E323" i="11"/>
  <c r="E321" i="11"/>
  <c r="E319" i="11"/>
  <c r="E317" i="11"/>
  <c r="O51" i="26" l="1"/>
  <c r="AJ47" i="23" s="1"/>
  <c r="O50" i="26"/>
  <c r="AJ46" i="23" s="1"/>
  <c r="N50" i="26"/>
  <c r="O48" i="26"/>
  <c r="AB43" i="23"/>
  <c r="O46" i="26"/>
  <c r="O44" i="26"/>
  <c r="AB39" i="23"/>
  <c r="O42" i="26"/>
  <c r="AB37" i="23"/>
  <c r="O40" i="26"/>
  <c r="O38" i="26"/>
  <c r="AB33" i="23"/>
  <c r="O36" i="26"/>
  <c r="AB31" i="23"/>
  <c r="O34" i="26"/>
  <c r="AB29" i="23"/>
  <c r="O32" i="26"/>
  <c r="AB27" i="23"/>
  <c r="O30" i="26"/>
  <c r="O28" i="26"/>
  <c r="AB23" i="23"/>
  <c r="O26" i="26"/>
  <c r="O24" i="26"/>
  <c r="AB19" i="23"/>
  <c r="O22" i="26"/>
  <c r="O20" i="26"/>
  <c r="AB15" i="23"/>
  <c r="O18" i="26"/>
  <c r="O16" i="26"/>
  <c r="AB11" i="23"/>
  <c r="O14" i="26"/>
  <c r="O12" i="26"/>
  <c r="AB7" i="23"/>
  <c r="O10" i="26"/>
  <c r="O8" i="26"/>
  <c r="P26" i="25"/>
  <c r="L26" i="25"/>
  <c r="L25" i="25"/>
  <c r="P23" i="25"/>
  <c r="L23" i="25"/>
  <c r="L22" i="25"/>
  <c r="P21" i="25"/>
  <c r="L21" i="25"/>
  <c r="P20" i="25"/>
  <c r="O20" i="25"/>
  <c r="P19" i="25"/>
  <c r="L19" i="25"/>
  <c r="P18" i="25"/>
  <c r="O18" i="25"/>
  <c r="L18" i="25"/>
  <c r="P17" i="25"/>
  <c r="O17" i="25"/>
  <c r="AA7" i="23" s="1"/>
  <c r="L17" i="25"/>
  <c r="F27" i="25"/>
  <c r="L16" i="25"/>
  <c r="P14" i="25"/>
  <c r="L14" i="25"/>
  <c r="P13" i="25"/>
  <c r="AH4" i="23" s="1"/>
  <c r="O13" i="25"/>
  <c r="N81" i="24"/>
  <c r="AF78" i="23" s="1"/>
  <c r="M81" i="24"/>
  <c r="Y78" i="23" s="1"/>
  <c r="N80" i="24"/>
  <c r="M80" i="24"/>
  <c r="Y77" i="23" s="1"/>
  <c r="AE76" i="23"/>
  <c r="N78" i="24"/>
  <c r="X75" i="23"/>
  <c r="N77" i="24"/>
  <c r="AF74" i="23" s="1"/>
  <c r="M77" i="24"/>
  <c r="N76" i="24"/>
  <c r="M76" i="24"/>
  <c r="Y73" i="23" s="1"/>
  <c r="AE72" i="23"/>
  <c r="N74" i="24"/>
  <c r="AF71" i="23" s="1"/>
  <c r="X71" i="23"/>
  <c r="N73" i="24"/>
  <c r="M73" i="24"/>
  <c r="Y70" i="23" s="1"/>
  <c r="N72" i="24"/>
  <c r="AF69" i="23" s="1"/>
  <c r="M72" i="24"/>
  <c r="Y69" i="23" s="1"/>
  <c r="N70" i="24"/>
  <c r="AF67" i="23" s="1"/>
  <c r="AE67" i="23"/>
  <c r="N69" i="24"/>
  <c r="AF66" i="23" s="1"/>
  <c r="M69" i="24"/>
  <c r="N68" i="24"/>
  <c r="AF65" i="23" s="1"/>
  <c r="M68" i="24"/>
  <c r="X64" i="23"/>
  <c r="N66" i="24"/>
  <c r="AE63" i="23"/>
  <c r="M65" i="24"/>
  <c r="Y62" i="23" s="1"/>
  <c r="N65" i="24"/>
  <c r="N64" i="24"/>
  <c r="AF61" i="23" s="1"/>
  <c r="X61" i="23"/>
  <c r="M63" i="24"/>
  <c r="N63" i="24"/>
  <c r="N62" i="24"/>
  <c r="AF59" i="23" s="1"/>
  <c r="X59" i="23"/>
  <c r="M61" i="24"/>
  <c r="Y58" i="23" s="1"/>
  <c r="N61" i="24"/>
  <c r="N60" i="24"/>
  <c r="AF57" i="23" s="1"/>
  <c r="AE57" i="23"/>
  <c r="M59" i="24"/>
  <c r="Y56" i="23" s="1"/>
  <c r="N59" i="24"/>
  <c r="N58" i="24"/>
  <c r="AF55" i="23" s="1"/>
  <c r="AE55" i="23"/>
  <c r="M57" i="24"/>
  <c r="Y54" i="23" s="1"/>
  <c r="N57" i="24"/>
  <c r="N56" i="24"/>
  <c r="AF53" i="23" s="1"/>
  <c r="X53" i="23"/>
  <c r="M55" i="24"/>
  <c r="N55" i="24"/>
  <c r="N54" i="24"/>
  <c r="AF51" i="23" s="1"/>
  <c r="X51" i="23"/>
  <c r="M53" i="24"/>
  <c r="Y50" i="23" s="1"/>
  <c r="N53" i="24"/>
  <c r="N52" i="24"/>
  <c r="AF49" i="23" s="1"/>
  <c r="AE49" i="23"/>
  <c r="M51" i="24"/>
  <c r="N51" i="24"/>
  <c r="N50" i="24"/>
  <c r="AF47" i="23" s="1"/>
  <c r="M49" i="24"/>
  <c r="Y46" i="23" s="1"/>
  <c r="N49" i="24"/>
  <c r="N48" i="24"/>
  <c r="AF45" i="23" s="1"/>
  <c r="AE45" i="23"/>
  <c r="M47" i="24"/>
  <c r="N47" i="24"/>
  <c r="N46" i="24"/>
  <c r="AF43" i="23" s="1"/>
  <c r="M45" i="24"/>
  <c r="Y42" i="23" s="1"/>
  <c r="N45" i="24"/>
  <c r="N44" i="24"/>
  <c r="AF41" i="23" s="1"/>
  <c r="AE41" i="23"/>
  <c r="M43" i="24"/>
  <c r="N43" i="24"/>
  <c r="N42" i="24"/>
  <c r="AF39" i="23" s="1"/>
  <c r="AE39" i="23"/>
  <c r="M41" i="24"/>
  <c r="Y38" i="23" s="1"/>
  <c r="N41" i="24"/>
  <c r="N40" i="24"/>
  <c r="M39" i="24"/>
  <c r="Y36" i="23" s="1"/>
  <c r="N39" i="24"/>
  <c r="AF36" i="23" s="1"/>
  <c r="N38" i="24"/>
  <c r="AF35" i="23" s="1"/>
  <c r="AE35" i="23"/>
  <c r="M37" i="24"/>
  <c r="N37" i="24"/>
  <c r="N36" i="24"/>
  <c r="M35" i="24"/>
  <c r="Y32" i="23" s="1"/>
  <c r="N35" i="24"/>
  <c r="AF32" i="23" s="1"/>
  <c r="N34" i="24"/>
  <c r="AF31" i="23" s="1"/>
  <c r="AE31" i="23"/>
  <c r="M33" i="24"/>
  <c r="N33" i="24"/>
  <c r="M31" i="24"/>
  <c r="Y28" i="23" s="1"/>
  <c r="N31" i="24"/>
  <c r="M29" i="24"/>
  <c r="N29" i="24"/>
  <c r="AE25" i="23"/>
  <c r="M27" i="24"/>
  <c r="N27" i="24"/>
  <c r="AF24" i="23" s="1"/>
  <c r="AE23" i="23"/>
  <c r="M25" i="24"/>
  <c r="Y22" i="23" s="1"/>
  <c r="N25" i="24"/>
  <c r="M23" i="24"/>
  <c r="N23" i="24"/>
  <c r="M21" i="24"/>
  <c r="N21" i="24"/>
  <c r="AE17" i="23"/>
  <c r="M19" i="24"/>
  <c r="N19" i="24"/>
  <c r="N17" i="24"/>
  <c r="AE14" i="23"/>
  <c r="M16" i="24"/>
  <c r="N16" i="24"/>
  <c r="N14" i="24"/>
  <c r="AE11" i="23"/>
  <c r="N13" i="24"/>
  <c r="N10" i="24"/>
  <c r="N9" i="24"/>
  <c r="M8" i="24"/>
  <c r="N8" i="24"/>
  <c r="AE78" i="23"/>
  <c r="X78" i="23"/>
  <c r="AF77" i="23"/>
  <c r="AE77" i="23"/>
  <c r="X77" i="23"/>
  <c r="X76" i="23"/>
  <c r="AF75" i="23"/>
  <c r="AE75" i="23"/>
  <c r="AE74" i="23"/>
  <c r="Y74" i="23"/>
  <c r="X74" i="23"/>
  <c r="AF73" i="23"/>
  <c r="AE73" i="23"/>
  <c r="X73" i="23"/>
  <c r="X72" i="23"/>
  <c r="AE71" i="23"/>
  <c r="AF70" i="23"/>
  <c r="AE70" i="23"/>
  <c r="X70" i="23"/>
  <c r="AE69" i="23"/>
  <c r="X69" i="23"/>
  <c r="X67" i="23"/>
  <c r="AE66" i="23"/>
  <c r="Y66" i="23"/>
  <c r="X66" i="23"/>
  <c r="AE65" i="23"/>
  <c r="Y65" i="23"/>
  <c r="X65" i="23"/>
  <c r="AE64" i="23"/>
  <c r="AF63" i="23"/>
  <c r="X63" i="23"/>
  <c r="AF62" i="23"/>
  <c r="AE62" i="23"/>
  <c r="X62" i="23"/>
  <c r="AE61" i="23"/>
  <c r="AF60" i="23"/>
  <c r="AE60" i="23"/>
  <c r="Y60" i="23"/>
  <c r="X60" i="23"/>
  <c r="AE59" i="23"/>
  <c r="AF58" i="23"/>
  <c r="AE58" i="23"/>
  <c r="X58" i="23"/>
  <c r="X57" i="23"/>
  <c r="AF56" i="23"/>
  <c r="AE56" i="23"/>
  <c r="X56" i="23"/>
  <c r="X55" i="23"/>
  <c r="AF54" i="23"/>
  <c r="AE54" i="23"/>
  <c r="X54" i="23"/>
  <c r="AE53" i="23"/>
  <c r="AF52" i="23"/>
  <c r="AE52" i="23"/>
  <c r="Y52" i="23"/>
  <c r="X52" i="23"/>
  <c r="AE51" i="23"/>
  <c r="AF50" i="23"/>
  <c r="AE50" i="23"/>
  <c r="X50" i="23"/>
  <c r="X49" i="23"/>
  <c r="AF48" i="23"/>
  <c r="AE48" i="23"/>
  <c r="AB48" i="23"/>
  <c r="Y48" i="23"/>
  <c r="X48" i="23"/>
  <c r="AE47" i="23"/>
  <c r="AB47" i="23"/>
  <c r="X47" i="23"/>
  <c r="AF46" i="23"/>
  <c r="AE46" i="23"/>
  <c r="AC46" i="23"/>
  <c r="AB46" i="23"/>
  <c r="X46" i="23"/>
  <c r="AB45" i="23"/>
  <c r="AJ44" i="23"/>
  <c r="AF44" i="23"/>
  <c r="AE44" i="23"/>
  <c r="AB44" i="23"/>
  <c r="Y44" i="23"/>
  <c r="X44" i="23"/>
  <c r="AE43" i="23"/>
  <c r="X43" i="23"/>
  <c r="Q43" i="23"/>
  <c r="AJ42" i="23"/>
  <c r="AF42" i="23"/>
  <c r="AE42" i="23"/>
  <c r="AB42" i="23"/>
  <c r="X42" i="23"/>
  <c r="AB41" i="23"/>
  <c r="AJ40" i="23"/>
  <c r="AF40" i="23"/>
  <c r="AE40" i="23"/>
  <c r="AB40" i="23"/>
  <c r="Y40" i="23"/>
  <c r="X40" i="23"/>
  <c r="AJ38" i="23"/>
  <c r="AF38" i="23"/>
  <c r="AE38" i="23"/>
  <c r="AB38" i="23"/>
  <c r="X38" i="23"/>
  <c r="AF37" i="23"/>
  <c r="AE37" i="23"/>
  <c r="X37" i="23"/>
  <c r="AJ36" i="23"/>
  <c r="AE36" i="23"/>
  <c r="AB36" i="23"/>
  <c r="X36" i="23"/>
  <c r="AB35" i="23"/>
  <c r="AJ34" i="23"/>
  <c r="AF34" i="23"/>
  <c r="AE34" i="23"/>
  <c r="AB34" i="23"/>
  <c r="Y34" i="23"/>
  <c r="X34" i="23"/>
  <c r="AF33" i="23"/>
  <c r="AE33" i="23"/>
  <c r="X33" i="23"/>
  <c r="AJ32" i="23"/>
  <c r="AE32" i="23"/>
  <c r="AB32" i="23"/>
  <c r="X32" i="23"/>
  <c r="AJ30" i="23"/>
  <c r="AF30" i="23"/>
  <c r="AE30" i="23"/>
  <c r="AB30" i="23"/>
  <c r="Y30" i="23"/>
  <c r="X30" i="23"/>
  <c r="AE29" i="23"/>
  <c r="X29" i="23"/>
  <c r="AJ28" i="23"/>
  <c r="AF28" i="23"/>
  <c r="AE28" i="23"/>
  <c r="AB28" i="23"/>
  <c r="X28" i="23"/>
  <c r="AJ26" i="23"/>
  <c r="AF26" i="23"/>
  <c r="AE26" i="23"/>
  <c r="AB26" i="23"/>
  <c r="Y26" i="23"/>
  <c r="X26" i="23"/>
  <c r="AB25" i="23"/>
  <c r="AJ24" i="23"/>
  <c r="AE24" i="23"/>
  <c r="AB24" i="23"/>
  <c r="Y24" i="23"/>
  <c r="X24" i="23"/>
  <c r="AJ22" i="23"/>
  <c r="AF22" i="23"/>
  <c r="AE22" i="23"/>
  <c r="AB22" i="23"/>
  <c r="X22" i="23"/>
  <c r="AE21" i="23"/>
  <c r="AB21" i="23"/>
  <c r="X21" i="23"/>
  <c r="AJ20" i="23"/>
  <c r="AF20" i="23"/>
  <c r="AE20" i="23"/>
  <c r="AB20" i="23"/>
  <c r="Y20" i="23"/>
  <c r="X20" i="23"/>
  <c r="AE19" i="23"/>
  <c r="X19" i="23"/>
  <c r="AJ18" i="23"/>
  <c r="AF18" i="23"/>
  <c r="AE18" i="23"/>
  <c r="AB18" i="23"/>
  <c r="Y18" i="23"/>
  <c r="X18" i="23"/>
  <c r="AB17" i="23"/>
  <c r="AJ16" i="23"/>
  <c r="AF16" i="23"/>
  <c r="AE16" i="23"/>
  <c r="AB16" i="23"/>
  <c r="Y16" i="23"/>
  <c r="X16" i="23"/>
  <c r="AE15" i="23"/>
  <c r="X15" i="23"/>
  <c r="AJ14" i="23"/>
  <c r="AH14" i="23"/>
  <c r="AF14" i="23"/>
  <c r="AB14" i="23"/>
  <c r="S14" i="23"/>
  <c r="Z14" i="23" s="1"/>
  <c r="AG14" i="23" s="1"/>
  <c r="AF13" i="23"/>
  <c r="AE13" i="23"/>
  <c r="AB13" i="23"/>
  <c r="Y13" i="23"/>
  <c r="X13" i="23"/>
  <c r="S13" i="23"/>
  <c r="Z13" i="23" s="1"/>
  <c r="AG13" i="23" s="1"/>
  <c r="AJ12" i="23"/>
  <c r="AH12" i="23"/>
  <c r="AE12" i="23"/>
  <c r="AB12" i="23"/>
  <c r="X12" i="23"/>
  <c r="S12" i="23"/>
  <c r="Z12" i="23" s="1"/>
  <c r="AG12" i="23" s="1"/>
  <c r="AF11" i="23"/>
  <c r="S11" i="23"/>
  <c r="Z11" i="23" s="1"/>
  <c r="AG11" i="23" s="1"/>
  <c r="AJ10" i="23"/>
  <c r="AH10" i="23"/>
  <c r="AF10" i="23"/>
  <c r="AE10" i="23"/>
  <c r="AB10" i="23"/>
  <c r="Z10" i="23"/>
  <c r="AG10" i="23" s="1"/>
  <c r="X10" i="23"/>
  <c r="S10" i="23"/>
  <c r="AH9" i="23"/>
  <c r="AE9" i="23"/>
  <c r="AB9" i="23"/>
  <c r="Z9" i="23"/>
  <c r="AG9" i="23" s="1"/>
  <c r="X9" i="23"/>
  <c r="S9" i="23"/>
  <c r="AJ8" i="23"/>
  <c r="AH8" i="23"/>
  <c r="AE8" i="23"/>
  <c r="AB8" i="23"/>
  <c r="AA8" i="23"/>
  <c r="X8" i="23"/>
  <c r="S8" i="23"/>
  <c r="Z8" i="23" s="1"/>
  <c r="AG8" i="23" s="1"/>
  <c r="AH7" i="23"/>
  <c r="AF7" i="23"/>
  <c r="AE7" i="23"/>
  <c r="X7" i="23"/>
  <c r="S7" i="23"/>
  <c r="Z7" i="23" s="1"/>
  <c r="AG7" i="23" s="1"/>
  <c r="AJ6" i="23"/>
  <c r="AF6" i="23"/>
  <c r="AE6" i="23"/>
  <c r="AB6" i="23"/>
  <c r="X6" i="23"/>
  <c r="S6" i="23"/>
  <c r="Z6" i="23" s="1"/>
  <c r="AG6" i="23" s="1"/>
  <c r="AH5" i="23"/>
  <c r="AF5" i="23"/>
  <c r="AE5" i="23"/>
  <c r="AB5" i="23"/>
  <c r="Z5" i="23"/>
  <c r="AG5" i="23" s="1"/>
  <c r="Y5" i="23"/>
  <c r="X5" i="23"/>
  <c r="S5" i="23"/>
  <c r="AJ4" i="23"/>
  <c r="AE4" i="23"/>
  <c r="AB4" i="23"/>
  <c r="AA4" i="23"/>
  <c r="X4" i="23"/>
  <c r="S4" i="23"/>
  <c r="Z4" i="23" s="1"/>
  <c r="AG4" i="23" s="1"/>
  <c r="F79" i="23"/>
  <c r="N6" i="23" s="1"/>
  <c r="O6" i="23" s="1"/>
  <c r="J62" i="21"/>
  <c r="I113" i="22" s="1"/>
  <c r="I62" i="21"/>
  <c r="E113" i="22" s="1"/>
  <c r="H57" i="21"/>
  <c r="G57" i="21"/>
  <c r="F57" i="21"/>
  <c r="G52" i="26" s="1"/>
  <c r="U48" i="23"/>
  <c r="AI48" i="23" s="1"/>
  <c r="H56" i="21"/>
  <c r="G56" i="21"/>
  <c r="F56" i="21"/>
  <c r="U47" i="23"/>
  <c r="AI47" i="23" s="1"/>
  <c r="M55" i="21"/>
  <c r="V46" i="23" s="1"/>
  <c r="H55" i="21"/>
  <c r="G55" i="21"/>
  <c r="F55" i="21"/>
  <c r="G50" i="26" s="1"/>
  <c r="U46" i="23"/>
  <c r="AI46" i="23" s="1"/>
  <c r="H54" i="21"/>
  <c r="G54" i="21"/>
  <c r="F54" i="21"/>
  <c r="G49" i="26" s="1"/>
  <c r="U45" i="23"/>
  <c r="AI45" i="23" s="1"/>
  <c r="M53" i="21"/>
  <c r="V44" i="23" s="1"/>
  <c r="H53" i="21"/>
  <c r="G53" i="21"/>
  <c r="F53" i="21"/>
  <c r="G48" i="26" s="1"/>
  <c r="U44" i="23"/>
  <c r="AI44" i="23" s="1"/>
  <c r="H52" i="21"/>
  <c r="G52" i="21"/>
  <c r="F52" i="21"/>
  <c r="U43" i="23"/>
  <c r="AI43" i="23" s="1"/>
  <c r="H51" i="21"/>
  <c r="G51" i="21"/>
  <c r="F51" i="21"/>
  <c r="G46" i="26" s="1"/>
  <c r="U42" i="23"/>
  <c r="AI42" i="23" s="1"/>
  <c r="M50" i="21"/>
  <c r="V41" i="23" s="1"/>
  <c r="H50" i="21"/>
  <c r="G50" i="21"/>
  <c r="F50" i="21"/>
  <c r="G45" i="26" s="1"/>
  <c r="U41" i="23"/>
  <c r="AI41" i="23" s="1"/>
  <c r="H49" i="21"/>
  <c r="G49" i="21"/>
  <c r="F49" i="21"/>
  <c r="G44" i="26" s="1"/>
  <c r="U40" i="23"/>
  <c r="AI40" i="23" s="1"/>
  <c r="H48" i="21"/>
  <c r="G48" i="21"/>
  <c r="F48" i="21"/>
  <c r="U39" i="23"/>
  <c r="AI39" i="23" s="1"/>
  <c r="M47" i="21"/>
  <c r="V38" i="23" s="1"/>
  <c r="H47" i="21"/>
  <c r="G47" i="21"/>
  <c r="F47" i="21"/>
  <c r="G42" i="26" s="1"/>
  <c r="U38" i="23"/>
  <c r="AI38" i="23" s="1"/>
  <c r="H46" i="21"/>
  <c r="G46" i="21"/>
  <c r="F46" i="21"/>
  <c r="G41" i="26" s="1"/>
  <c r="U37" i="23"/>
  <c r="AI37" i="23" s="1"/>
  <c r="M45" i="21"/>
  <c r="V36" i="23" s="1"/>
  <c r="H45" i="21"/>
  <c r="G45" i="21"/>
  <c r="F45" i="21"/>
  <c r="G40" i="26" s="1"/>
  <c r="U36" i="23"/>
  <c r="AI36" i="23" s="1"/>
  <c r="H44" i="21"/>
  <c r="G44" i="21"/>
  <c r="F44" i="21"/>
  <c r="U35" i="23"/>
  <c r="AI35" i="23" s="1"/>
  <c r="H43" i="21"/>
  <c r="G43" i="21"/>
  <c r="F43" i="21"/>
  <c r="G38" i="26" s="1"/>
  <c r="U34" i="23"/>
  <c r="AI34" i="23" s="1"/>
  <c r="M42" i="21"/>
  <c r="V33" i="23" s="1"/>
  <c r="H42" i="21"/>
  <c r="G42" i="21"/>
  <c r="F42" i="21"/>
  <c r="G37" i="26" s="1"/>
  <c r="U33" i="23"/>
  <c r="AI33" i="23" s="1"/>
  <c r="H41" i="21"/>
  <c r="G41" i="21"/>
  <c r="F41" i="21"/>
  <c r="G36" i="26" s="1"/>
  <c r="U32" i="23"/>
  <c r="AI32" i="23" s="1"/>
  <c r="H40" i="21"/>
  <c r="G40" i="21"/>
  <c r="F40" i="21"/>
  <c r="U31" i="23"/>
  <c r="AI31" i="23" s="1"/>
  <c r="M39" i="21"/>
  <c r="V30" i="23" s="1"/>
  <c r="H39" i="21"/>
  <c r="G39" i="21"/>
  <c r="F39" i="21"/>
  <c r="G34" i="26" s="1"/>
  <c r="U30" i="23"/>
  <c r="AI30" i="23" s="1"/>
  <c r="H38" i="21"/>
  <c r="G38" i="21"/>
  <c r="F38" i="21"/>
  <c r="G33" i="26" s="1"/>
  <c r="U29" i="23"/>
  <c r="AI29" i="23" s="1"/>
  <c r="M37" i="21"/>
  <c r="V28" i="23" s="1"/>
  <c r="H37" i="21"/>
  <c r="G37" i="21"/>
  <c r="F37" i="21"/>
  <c r="G32" i="26" s="1"/>
  <c r="U28" i="23"/>
  <c r="AI28" i="23" s="1"/>
  <c r="H36" i="21"/>
  <c r="G36" i="21"/>
  <c r="F36" i="21"/>
  <c r="U27" i="23"/>
  <c r="AI27" i="23" s="1"/>
  <c r="H35" i="21"/>
  <c r="G35" i="21"/>
  <c r="F35" i="21"/>
  <c r="G30" i="26" s="1"/>
  <c r="U26" i="23"/>
  <c r="AI26" i="23" s="1"/>
  <c r="M34" i="21"/>
  <c r="V25" i="23" s="1"/>
  <c r="H34" i="21"/>
  <c r="G34" i="21"/>
  <c r="F34" i="21"/>
  <c r="G29" i="26" s="1"/>
  <c r="U25" i="23"/>
  <c r="AI25" i="23" s="1"/>
  <c r="H33" i="21"/>
  <c r="G33" i="21"/>
  <c r="F33" i="21"/>
  <c r="G28" i="26" s="1"/>
  <c r="U24" i="23"/>
  <c r="AI24" i="23" s="1"/>
  <c r="H32" i="21"/>
  <c r="G32" i="21"/>
  <c r="F32" i="21"/>
  <c r="U23" i="23"/>
  <c r="AI23" i="23" s="1"/>
  <c r="M31" i="21"/>
  <c r="V22" i="23" s="1"/>
  <c r="H31" i="21"/>
  <c r="G31" i="21"/>
  <c r="F31" i="21"/>
  <c r="G26" i="26" s="1"/>
  <c r="U22" i="23"/>
  <c r="AI22" i="23" s="1"/>
  <c r="H30" i="21"/>
  <c r="G30" i="21"/>
  <c r="F30" i="21"/>
  <c r="G25" i="26" s="1"/>
  <c r="U21" i="23"/>
  <c r="AI21" i="23" s="1"/>
  <c r="M29" i="21"/>
  <c r="V20" i="23" s="1"/>
  <c r="H29" i="21"/>
  <c r="G29" i="21"/>
  <c r="F29" i="21"/>
  <c r="G24" i="26" s="1"/>
  <c r="U20" i="23"/>
  <c r="AI20" i="23" s="1"/>
  <c r="H28" i="21"/>
  <c r="G28" i="21"/>
  <c r="F28" i="21"/>
  <c r="U19" i="23"/>
  <c r="AI19" i="23" s="1"/>
  <c r="H27" i="21"/>
  <c r="G27" i="21"/>
  <c r="F27" i="21"/>
  <c r="G22" i="26" s="1"/>
  <c r="U18" i="23"/>
  <c r="AI18" i="23" s="1"/>
  <c r="M26" i="21"/>
  <c r="V17" i="23" s="1"/>
  <c r="H26" i="21"/>
  <c r="G26" i="21"/>
  <c r="F26" i="21"/>
  <c r="G21" i="26" s="1"/>
  <c r="U17" i="23"/>
  <c r="AI17" i="23" s="1"/>
  <c r="H25" i="21"/>
  <c r="G25" i="21"/>
  <c r="F25" i="21"/>
  <c r="G20" i="26" s="1"/>
  <c r="U16" i="23"/>
  <c r="AI16" i="23" s="1"/>
  <c r="H24" i="21"/>
  <c r="G24" i="21"/>
  <c r="F24" i="21"/>
  <c r="U15" i="23"/>
  <c r="AI15" i="23" s="1"/>
  <c r="M23" i="21"/>
  <c r="V14" i="23" s="1"/>
  <c r="H23" i="21"/>
  <c r="G23" i="21"/>
  <c r="F23" i="21"/>
  <c r="G18" i="26" s="1"/>
  <c r="U14" i="23"/>
  <c r="AI14" i="23" s="1"/>
  <c r="H22" i="21"/>
  <c r="G22" i="21"/>
  <c r="F22" i="21"/>
  <c r="G17" i="26" s="1"/>
  <c r="U13" i="23"/>
  <c r="AI13" i="23" s="1"/>
  <c r="M21" i="21"/>
  <c r="V12" i="23" s="1"/>
  <c r="H21" i="21"/>
  <c r="G21" i="21"/>
  <c r="F21" i="21"/>
  <c r="G16" i="26" s="1"/>
  <c r="U12" i="23"/>
  <c r="AI12" i="23" s="1"/>
  <c r="H20" i="21"/>
  <c r="G20" i="21"/>
  <c r="F20" i="21"/>
  <c r="U11" i="23"/>
  <c r="AI11" i="23" s="1"/>
  <c r="H19" i="21"/>
  <c r="G19" i="21"/>
  <c r="F19" i="21"/>
  <c r="G14" i="26" s="1"/>
  <c r="U10" i="23"/>
  <c r="AI10" i="23" s="1"/>
  <c r="M18" i="21"/>
  <c r="V9" i="23" s="1"/>
  <c r="H18" i="21"/>
  <c r="G18" i="21"/>
  <c r="F18" i="21"/>
  <c r="G13" i="26" s="1"/>
  <c r="U9" i="23"/>
  <c r="AI9" i="23" s="1"/>
  <c r="H17" i="21"/>
  <c r="G17" i="21"/>
  <c r="F17" i="21"/>
  <c r="G12" i="26" s="1"/>
  <c r="U8" i="23"/>
  <c r="AI8" i="23" s="1"/>
  <c r="H16" i="21"/>
  <c r="G16" i="21"/>
  <c r="F16" i="21"/>
  <c r="U7" i="23"/>
  <c r="AI7" i="23" s="1"/>
  <c r="M15" i="21"/>
  <c r="V6" i="23" s="1"/>
  <c r="H15" i="21"/>
  <c r="G15" i="21"/>
  <c r="F15" i="21"/>
  <c r="G10" i="26" s="1"/>
  <c r="U6" i="23"/>
  <c r="AI6" i="23" s="1"/>
  <c r="H14" i="21"/>
  <c r="G14" i="21"/>
  <c r="F14" i="21"/>
  <c r="G9" i="26" s="1"/>
  <c r="U5" i="23"/>
  <c r="AI5" i="23" s="1"/>
  <c r="M13" i="21"/>
  <c r="V4" i="23" s="1"/>
  <c r="H13" i="21"/>
  <c r="G13" i="21"/>
  <c r="F13" i="21"/>
  <c r="G8" i="26" s="1"/>
  <c r="U4" i="23"/>
  <c r="AI4" i="23" s="1"/>
  <c r="J32" i="20"/>
  <c r="I32" i="20"/>
  <c r="H28" i="20"/>
  <c r="G28" i="20"/>
  <c r="H27" i="20"/>
  <c r="G27" i="20"/>
  <c r="F27" i="20"/>
  <c r="M27" i="20" s="1"/>
  <c r="T14" i="23" s="1"/>
  <c r="H26" i="20"/>
  <c r="G26" i="20"/>
  <c r="F26" i="20"/>
  <c r="M26" i="20" s="1"/>
  <c r="T13" i="23" s="1"/>
  <c r="M24" i="20"/>
  <c r="T12" i="23" s="1"/>
  <c r="H24" i="20"/>
  <c r="G24" i="20"/>
  <c r="F24" i="20"/>
  <c r="H23" i="20"/>
  <c r="G23" i="20"/>
  <c r="F23" i="20"/>
  <c r="M23" i="20" s="1"/>
  <c r="T11" i="23" s="1"/>
  <c r="H22" i="20"/>
  <c r="G22" i="20"/>
  <c r="F22" i="20"/>
  <c r="M22" i="20" s="1"/>
  <c r="T10" i="23" s="1"/>
  <c r="M20" i="20"/>
  <c r="T9" i="23" s="1"/>
  <c r="H20" i="20"/>
  <c r="G20" i="20"/>
  <c r="F20" i="20"/>
  <c r="H19" i="20"/>
  <c r="G19" i="20"/>
  <c r="F19" i="20"/>
  <c r="M19" i="20" s="1"/>
  <c r="T8" i="23" s="1"/>
  <c r="M18" i="20"/>
  <c r="T7" i="23" s="1"/>
  <c r="H18" i="20"/>
  <c r="G18" i="20"/>
  <c r="F18" i="20"/>
  <c r="H17" i="20"/>
  <c r="G17" i="20"/>
  <c r="F17" i="20"/>
  <c r="H15" i="20"/>
  <c r="G15" i="20"/>
  <c r="F15" i="20"/>
  <c r="M15" i="20" s="1"/>
  <c r="T5" i="23" s="1"/>
  <c r="M14" i="20"/>
  <c r="H14" i="20"/>
  <c r="G14" i="20"/>
  <c r="F14" i="20"/>
  <c r="I38" i="20"/>
  <c r="I66" i="21"/>
  <c r="E117" i="22" s="1"/>
  <c r="I64" i="21"/>
  <c r="E115" i="22" s="1"/>
  <c r="C29" i="25"/>
  <c r="H87" i="19"/>
  <c r="G87" i="19"/>
  <c r="F87" i="19"/>
  <c r="G81" i="24" s="1"/>
  <c r="Q78" i="23"/>
  <c r="M86" i="19"/>
  <c r="R77" i="23" s="1"/>
  <c r="H86" i="19"/>
  <c r="G86" i="19"/>
  <c r="F86" i="19"/>
  <c r="G80" i="24" s="1"/>
  <c r="Q77" i="23"/>
  <c r="H85" i="19"/>
  <c r="G85" i="19"/>
  <c r="F85" i="19"/>
  <c r="G79" i="24" s="1"/>
  <c r="Q76" i="23"/>
  <c r="H84" i="19"/>
  <c r="G84" i="19"/>
  <c r="F84" i="19"/>
  <c r="Q75" i="23"/>
  <c r="M83" i="19"/>
  <c r="R74" i="23" s="1"/>
  <c r="H83" i="19"/>
  <c r="G83" i="19"/>
  <c r="F83" i="19"/>
  <c r="G77" i="24" s="1"/>
  <c r="Q74" i="23"/>
  <c r="H82" i="19"/>
  <c r="G82" i="19"/>
  <c r="F82" i="19"/>
  <c r="G76" i="24" s="1"/>
  <c r="Q73" i="23"/>
  <c r="M81" i="19"/>
  <c r="R72" i="23" s="1"/>
  <c r="H81" i="19"/>
  <c r="G81" i="19"/>
  <c r="F81" i="19"/>
  <c r="G75" i="24" s="1"/>
  <c r="Q72" i="23"/>
  <c r="H80" i="19"/>
  <c r="G80" i="19"/>
  <c r="F80" i="19"/>
  <c r="Q71" i="23"/>
  <c r="H79" i="19"/>
  <c r="G79" i="19"/>
  <c r="F79" i="19"/>
  <c r="G73" i="24" s="1"/>
  <c r="Q70" i="23"/>
  <c r="M78" i="19"/>
  <c r="R69" i="23" s="1"/>
  <c r="H78" i="19"/>
  <c r="G78" i="19"/>
  <c r="F78" i="19"/>
  <c r="G72" i="24" s="1"/>
  <c r="Q69" i="23"/>
  <c r="H77" i="19"/>
  <c r="G77" i="19"/>
  <c r="F77" i="19"/>
  <c r="G71" i="24" s="1"/>
  <c r="Q68" i="23"/>
  <c r="H76" i="19"/>
  <c r="G76" i="19"/>
  <c r="F76" i="19"/>
  <c r="Q67" i="23"/>
  <c r="M75" i="19"/>
  <c r="R66" i="23" s="1"/>
  <c r="H75" i="19"/>
  <c r="G75" i="19"/>
  <c r="F75" i="19"/>
  <c r="G69" i="24" s="1"/>
  <c r="Q66" i="23"/>
  <c r="H74" i="19"/>
  <c r="G74" i="19"/>
  <c r="F74" i="19"/>
  <c r="G68" i="24" s="1"/>
  <c r="Q65" i="23"/>
  <c r="M73" i="19"/>
  <c r="R64" i="23" s="1"/>
  <c r="H73" i="19"/>
  <c r="G73" i="19"/>
  <c r="F73" i="19"/>
  <c r="G67" i="24" s="1"/>
  <c r="Q64" i="23"/>
  <c r="H72" i="19"/>
  <c r="G72" i="19"/>
  <c r="F72" i="19"/>
  <c r="Q63" i="23"/>
  <c r="H71" i="19"/>
  <c r="G71" i="19"/>
  <c r="F71" i="19"/>
  <c r="G65" i="24" s="1"/>
  <c r="Q62" i="23"/>
  <c r="M70" i="19"/>
  <c r="R61" i="23" s="1"/>
  <c r="H70" i="19"/>
  <c r="G70" i="19"/>
  <c r="F70" i="19"/>
  <c r="G64" i="24" s="1"/>
  <c r="Q61" i="23"/>
  <c r="H69" i="19"/>
  <c r="G69" i="19"/>
  <c r="F69" i="19"/>
  <c r="G63" i="24" s="1"/>
  <c r="Q60" i="23"/>
  <c r="H68" i="19"/>
  <c r="G68" i="19"/>
  <c r="F68" i="19"/>
  <c r="Q59" i="23"/>
  <c r="M67" i="19"/>
  <c r="R58" i="23" s="1"/>
  <c r="H67" i="19"/>
  <c r="G67" i="19"/>
  <c r="F67" i="19"/>
  <c r="G61" i="24" s="1"/>
  <c r="Q58" i="23"/>
  <c r="H66" i="19"/>
  <c r="G66" i="19"/>
  <c r="F66" i="19"/>
  <c r="G60" i="24" s="1"/>
  <c r="Q57" i="23"/>
  <c r="M65" i="19"/>
  <c r="R56" i="23" s="1"/>
  <c r="H65" i="19"/>
  <c r="G65" i="19"/>
  <c r="F65" i="19"/>
  <c r="G59" i="24" s="1"/>
  <c r="Q56" i="23"/>
  <c r="H64" i="19"/>
  <c r="G64" i="19"/>
  <c r="F64" i="19"/>
  <c r="Q55" i="23"/>
  <c r="H63" i="19"/>
  <c r="G63" i="19"/>
  <c r="F63" i="19"/>
  <c r="G57" i="24" s="1"/>
  <c r="Q54" i="23"/>
  <c r="M62" i="19"/>
  <c r="R53" i="23" s="1"/>
  <c r="H62" i="19"/>
  <c r="G62" i="19"/>
  <c r="F62" i="19"/>
  <c r="G56" i="24" s="1"/>
  <c r="Q53" i="23"/>
  <c r="H61" i="19"/>
  <c r="G61" i="19"/>
  <c r="F61" i="19"/>
  <c r="G55" i="24" s="1"/>
  <c r="Q52" i="23"/>
  <c r="H60" i="19"/>
  <c r="G60" i="19"/>
  <c r="F60" i="19"/>
  <c r="Q51" i="23"/>
  <c r="M59" i="19"/>
  <c r="R50" i="23" s="1"/>
  <c r="H59" i="19"/>
  <c r="G59" i="19"/>
  <c r="F59" i="19"/>
  <c r="G53" i="24" s="1"/>
  <c r="Q50" i="23"/>
  <c r="H58" i="19"/>
  <c r="G58" i="19"/>
  <c r="F58" i="19"/>
  <c r="G52" i="24" s="1"/>
  <c r="Q49" i="23"/>
  <c r="M57" i="19"/>
  <c r="R48" i="23" s="1"/>
  <c r="H57" i="19"/>
  <c r="G57" i="19"/>
  <c r="F57" i="19"/>
  <c r="G51" i="24" s="1"/>
  <c r="Q48" i="23"/>
  <c r="H56" i="19"/>
  <c r="G56" i="19"/>
  <c r="F56" i="19"/>
  <c r="Q47" i="23"/>
  <c r="H55" i="19"/>
  <c r="G55" i="19"/>
  <c r="F55" i="19"/>
  <c r="G49" i="24" s="1"/>
  <c r="Q46" i="23"/>
  <c r="M54" i="19"/>
  <c r="R45" i="23" s="1"/>
  <c r="H54" i="19"/>
  <c r="G54" i="19"/>
  <c r="F54" i="19"/>
  <c r="G48" i="24" s="1"/>
  <c r="Q45" i="23"/>
  <c r="H53" i="19"/>
  <c r="G53" i="19"/>
  <c r="F53" i="19"/>
  <c r="G47" i="24" s="1"/>
  <c r="Q44" i="23"/>
  <c r="H52" i="19"/>
  <c r="G52" i="19"/>
  <c r="F52" i="19"/>
  <c r="M51" i="19"/>
  <c r="R42" i="23" s="1"/>
  <c r="H51" i="19"/>
  <c r="G51" i="19"/>
  <c r="F51" i="19"/>
  <c r="G45" i="24" s="1"/>
  <c r="Q42" i="23"/>
  <c r="H50" i="19"/>
  <c r="G50" i="19"/>
  <c r="F50" i="19"/>
  <c r="G44" i="24" s="1"/>
  <c r="Q41" i="23"/>
  <c r="M49" i="19"/>
  <c r="R40" i="23" s="1"/>
  <c r="H49" i="19"/>
  <c r="G49" i="19"/>
  <c r="F49" i="19"/>
  <c r="G43" i="24" s="1"/>
  <c r="Q40" i="23"/>
  <c r="H48" i="19"/>
  <c r="G48" i="19"/>
  <c r="F48" i="19"/>
  <c r="Q39" i="23"/>
  <c r="H47" i="19"/>
  <c r="G47" i="19"/>
  <c r="F47" i="19"/>
  <c r="G41" i="24" s="1"/>
  <c r="Q38" i="23"/>
  <c r="M46" i="19"/>
  <c r="R37" i="23" s="1"/>
  <c r="H46" i="19"/>
  <c r="G46" i="19"/>
  <c r="F46" i="19"/>
  <c r="G40" i="24" s="1"/>
  <c r="Q37" i="23"/>
  <c r="H45" i="19"/>
  <c r="G45" i="19"/>
  <c r="F45" i="19"/>
  <c r="G39" i="24" s="1"/>
  <c r="Q36" i="23"/>
  <c r="H44" i="19"/>
  <c r="G44" i="19"/>
  <c r="F44" i="19"/>
  <c r="Q35" i="23"/>
  <c r="M43" i="19"/>
  <c r="R34" i="23" s="1"/>
  <c r="H43" i="19"/>
  <c r="G43" i="19"/>
  <c r="F43" i="19"/>
  <c r="G37" i="24" s="1"/>
  <c r="Q34" i="23"/>
  <c r="H42" i="19"/>
  <c r="G42" i="19"/>
  <c r="F42" i="19"/>
  <c r="G36" i="24" s="1"/>
  <c r="Q33" i="23"/>
  <c r="M41" i="19"/>
  <c r="R32" i="23" s="1"/>
  <c r="H41" i="19"/>
  <c r="G41" i="19"/>
  <c r="F41" i="19"/>
  <c r="G35" i="24" s="1"/>
  <c r="Q32" i="23"/>
  <c r="H40" i="19"/>
  <c r="G40" i="19"/>
  <c r="F40" i="19"/>
  <c r="Q31" i="23"/>
  <c r="H39" i="19"/>
  <c r="G39" i="19"/>
  <c r="F39" i="19"/>
  <c r="G33" i="24" s="1"/>
  <c r="Q30" i="23"/>
  <c r="M38" i="19"/>
  <c r="R29" i="23" s="1"/>
  <c r="H38" i="19"/>
  <c r="G38" i="19"/>
  <c r="F38" i="19"/>
  <c r="G32" i="24" s="1"/>
  <c r="Q29" i="23"/>
  <c r="H37" i="19"/>
  <c r="G37" i="19"/>
  <c r="F37" i="19"/>
  <c r="G31" i="24" s="1"/>
  <c r="Q28" i="23"/>
  <c r="H36" i="19"/>
  <c r="G36" i="19"/>
  <c r="F36" i="19"/>
  <c r="Q27" i="23"/>
  <c r="M35" i="19"/>
  <c r="R26" i="23" s="1"/>
  <c r="H35" i="19"/>
  <c r="G35" i="19"/>
  <c r="F35" i="19"/>
  <c r="G29" i="24" s="1"/>
  <c r="Q26" i="23"/>
  <c r="H34" i="19"/>
  <c r="G34" i="19"/>
  <c r="F34" i="19"/>
  <c r="G28" i="24" s="1"/>
  <c r="Q25" i="23"/>
  <c r="M33" i="19"/>
  <c r="R24" i="23" s="1"/>
  <c r="H33" i="19"/>
  <c r="G33" i="19"/>
  <c r="F33" i="19"/>
  <c r="G27" i="24" s="1"/>
  <c r="Q24" i="23"/>
  <c r="H32" i="19"/>
  <c r="G32" i="19"/>
  <c r="F32" i="19"/>
  <c r="Q23" i="23"/>
  <c r="H31" i="19"/>
  <c r="G31" i="19"/>
  <c r="F31" i="19"/>
  <c r="G25" i="24" s="1"/>
  <c r="Q22" i="23"/>
  <c r="M30" i="19"/>
  <c r="R21" i="23" s="1"/>
  <c r="H30" i="19"/>
  <c r="G30" i="19"/>
  <c r="F30" i="19"/>
  <c r="G24" i="24" s="1"/>
  <c r="Q21" i="23"/>
  <c r="H29" i="19"/>
  <c r="G29" i="19"/>
  <c r="F29" i="19"/>
  <c r="G23" i="24" s="1"/>
  <c r="Q20" i="23"/>
  <c r="H28" i="19"/>
  <c r="G28" i="19"/>
  <c r="F28" i="19"/>
  <c r="Q19" i="23"/>
  <c r="M27" i="19"/>
  <c r="R18" i="23" s="1"/>
  <c r="H27" i="19"/>
  <c r="G27" i="19"/>
  <c r="F27" i="19"/>
  <c r="G21" i="24" s="1"/>
  <c r="Q18" i="23"/>
  <c r="H26" i="19"/>
  <c r="G26" i="19"/>
  <c r="F26" i="19"/>
  <c r="G20" i="24" s="1"/>
  <c r="Q17" i="23"/>
  <c r="M25" i="19"/>
  <c r="R16" i="23" s="1"/>
  <c r="H25" i="19"/>
  <c r="G25" i="19"/>
  <c r="F25" i="19"/>
  <c r="G19" i="24" s="1"/>
  <c r="Q16" i="23"/>
  <c r="H24" i="19"/>
  <c r="G24" i="19"/>
  <c r="F24" i="19"/>
  <c r="Q15" i="23"/>
  <c r="H23" i="19"/>
  <c r="G23" i="19"/>
  <c r="F23" i="19"/>
  <c r="G17" i="24" s="1"/>
  <c r="Q14" i="23"/>
  <c r="M22" i="19"/>
  <c r="R13" i="23" s="1"/>
  <c r="H22" i="19"/>
  <c r="G22" i="19"/>
  <c r="F22" i="19"/>
  <c r="G16" i="24" s="1"/>
  <c r="Q13" i="23"/>
  <c r="H21" i="19"/>
  <c r="G21" i="19"/>
  <c r="F21" i="19"/>
  <c r="G15" i="24" s="1"/>
  <c r="Q12" i="23"/>
  <c r="H20" i="19"/>
  <c r="G20" i="19"/>
  <c r="F20" i="19"/>
  <c r="Q11" i="23"/>
  <c r="M19" i="19"/>
  <c r="R10" i="23" s="1"/>
  <c r="H19" i="19"/>
  <c r="G19" i="19"/>
  <c r="F19" i="19"/>
  <c r="G13" i="24" s="1"/>
  <c r="Q10" i="23"/>
  <c r="H18" i="19"/>
  <c r="G18" i="19"/>
  <c r="F18" i="19"/>
  <c r="G12" i="24" s="1"/>
  <c r="Q9" i="23"/>
  <c r="M17" i="19"/>
  <c r="R8" i="23" s="1"/>
  <c r="H17" i="19"/>
  <c r="G17" i="19"/>
  <c r="F17" i="19"/>
  <c r="G11" i="24" s="1"/>
  <c r="Q8" i="23"/>
  <c r="H16" i="19"/>
  <c r="G16" i="19"/>
  <c r="F16" i="19"/>
  <c r="Q7" i="23"/>
  <c r="H15" i="19"/>
  <c r="G15" i="19"/>
  <c r="F15" i="19"/>
  <c r="G9" i="24" s="1"/>
  <c r="Q6" i="23"/>
  <c r="M14" i="19"/>
  <c r="R5" i="23" s="1"/>
  <c r="H14" i="19"/>
  <c r="G14" i="19"/>
  <c r="F14" i="19"/>
  <c r="G8" i="24" s="1"/>
  <c r="Q5" i="23"/>
  <c r="H13" i="19"/>
  <c r="G13" i="19"/>
  <c r="F13" i="19"/>
  <c r="G7" i="24" s="1"/>
  <c r="Q4" i="23"/>
  <c r="D5" i="20"/>
  <c r="D4" i="20"/>
  <c r="E3" i="21"/>
  <c r="N20" i="24" l="1"/>
  <c r="AF17" i="23" s="1"/>
  <c r="M20" i="24"/>
  <c r="Y17" i="23" s="1"/>
  <c r="O11" i="26"/>
  <c r="AJ7" i="23" s="1"/>
  <c r="N11" i="26"/>
  <c r="AC7" i="23" s="1"/>
  <c r="O15" i="26"/>
  <c r="AJ11" i="23" s="1"/>
  <c r="N15" i="26"/>
  <c r="AC11" i="23" s="1"/>
  <c r="O19" i="26"/>
  <c r="AJ15" i="23" s="1"/>
  <c r="N19" i="26"/>
  <c r="AC15" i="23" s="1"/>
  <c r="O27" i="26"/>
  <c r="AJ23" i="23" s="1"/>
  <c r="N27" i="26"/>
  <c r="AC23" i="23" s="1"/>
  <c r="O43" i="26"/>
  <c r="AJ39" i="23" s="1"/>
  <c r="N43" i="26"/>
  <c r="AC39" i="23" s="1"/>
  <c r="O47" i="26"/>
  <c r="AJ43" i="23" s="1"/>
  <c r="N47" i="26"/>
  <c r="AC43" i="23" s="1"/>
  <c r="N89" i="19"/>
  <c r="M15" i="19"/>
  <c r="R6" i="23" s="1"/>
  <c r="M21" i="19"/>
  <c r="R12" i="23" s="1"/>
  <c r="M26" i="19"/>
  <c r="R17" i="23" s="1"/>
  <c r="M31" i="19"/>
  <c r="R22" i="23" s="1"/>
  <c r="M37" i="19"/>
  <c r="R28" i="23" s="1"/>
  <c r="M42" i="19"/>
  <c r="R33" i="23" s="1"/>
  <c r="M47" i="19"/>
  <c r="R38" i="23" s="1"/>
  <c r="M53" i="19"/>
  <c r="R44" i="23" s="1"/>
  <c r="M58" i="19"/>
  <c r="R49" i="23" s="1"/>
  <c r="M63" i="19"/>
  <c r="R54" i="23" s="1"/>
  <c r="M69" i="19"/>
  <c r="R60" i="23" s="1"/>
  <c r="M74" i="19"/>
  <c r="R65" i="23" s="1"/>
  <c r="M79" i="19"/>
  <c r="R70" i="23" s="1"/>
  <c r="M85" i="19"/>
  <c r="R76" i="23" s="1"/>
  <c r="I34" i="20"/>
  <c r="M14" i="21"/>
  <c r="V5" i="23" s="1"/>
  <c r="M19" i="21"/>
  <c r="V10" i="23" s="1"/>
  <c r="V79" i="23" s="1"/>
  <c r="N16" i="23" s="1"/>
  <c r="O16" i="23" s="1"/>
  <c r="M25" i="21"/>
  <c r="V16" i="23" s="1"/>
  <c r="M30" i="21"/>
  <c r="V21" i="23" s="1"/>
  <c r="M35" i="21"/>
  <c r="V26" i="23" s="1"/>
  <c r="M41" i="21"/>
  <c r="V32" i="23" s="1"/>
  <c r="M46" i="21"/>
  <c r="V37" i="23" s="1"/>
  <c r="M51" i="21"/>
  <c r="V42" i="23" s="1"/>
  <c r="M57" i="21"/>
  <c r="V48" i="23" s="1"/>
  <c r="I68" i="21"/>
  <c r="E119" i="22" s="1"/>
  <c r="N18" i="24"/>
  <c r="AF15" i="23" s="1"/>
  <c r="M18" i="24"/>
  <c r="Y15" i="23" s="1"/>
  <c r="N26" i="24"/>
  <c r="AF23" i="23" s="1"/>
  <c r="M26" i="24"/>
  <c r="Y23" i="23" s="1"/>
  <c r="N75" i="24"/>
  <c r="AF72" i="23" s="1"/>
  <c r="M75" i="24"/>
  <c r="Y72" i="23" s="1"/>
  <c r="N79" i="24"/>
  <c r="AF76" i="23" s="1"/>
  <c r="M79" i="24"/>
  <c r="Y76" i="23" s="1"/>
  <c r="E4" i="21"/>
  <c r="L59" i="21"/>
  <c r="X17" i="23"/>
  <c r="X25" i="23"/>
  <c r="N12" i="24"/>
  <c r="AF9" i="23" s="1"/>
  <c r="M12" i="24"/>
  <c r="Y9" i="23" s="1"/>
  <c r="N24" i="24"/>
  <c r="AF21" i="23" s="1"/>
  <c r="M24" i="24"/>
  <c r="Y21" i="23" s="1"/>
  <c r="N32" i="24"/>
  <c r="AF29" i="23" s="1"/>
  <c r="M32" i="24"/>
  <c r="Y29" i="23" s="1"/>
  <c r="N67" i="24"/>
  <c r="AF64" i="23" s="1"/>
  <c r="M67" i="24"/>
  <c r="Y64" i="23" s="1"/>
  <c r="AE68" i="23"/>
  <c r="X68" i="23"/>
  <c r="N71" i="24"/>
  <c r="AF68" i="23" s="1"/>
  <c r="M71" i="24"/>
  <c r="Y68" i="23" s="1"/>
  <c r="P16" i="25"/>
  <c r="AH6" i="23" s="1"/>
  <c r="O16" i="25"/>
  <c r="AA6" i="23" s="1"/>
  <c r="P25" i="25"/>
  <c r="AH13" i="23" s="1"/>
  <c r="O25" i="25"/>
  <c r="AA13" i="23" s="1"/>
  <c r="O9" i="26"/>
  <c r="AJ5" i="23" s="1"/>
  <c r="N9" i="26"/>
  <c r="AC5" i="23" s="1"/>
  <c r="O13" i="26"/>
  <c r="AJ9" i="23" s="1"/>
  <c r="AJ79" i="23" s="1"/>
  <c r="N36" i="23" s="1"/>
  <c r="O36" i="23" s="1"/>
  <c r="N13" i="26"/>
  <c r="AC9" i="23" s="1"/>
  <c r="O17" i="26"/>
  <c r="AJ13" i="23" s="1"/>
  <c r="N17" i="26"/>
  <c r="AC13" i="23" s="1"/>
  <c r="O21" i="26"/>
  <c r="AJ17" i="23" s="1"/>
  <c r="N21" i="26"/>
  <c r="AC17" i="23" s="1"/>
  <c r="O25" i="26"/>
  <c r="AJ21" i="23" s="1"/>
  <c r="N25" i="26"/>
  <c r="AC21" i="23" s="1"/>
  <c r="O29" i="26"/>
  <c r="AJ25" i="23" s="1"/>
  <c r="N29" i="26"/>
  <c r="AC25" i="23" s="1"/>
  <c r="O33" i="26"/>
  <c r="AJ29" i="23" s="1"/>
  <c r="N33" i="26"/>
  <c r="AC29" i="23" s="1"/>
  <c r="O37" i="26"/>
  <c r="AJ33" i="23" s="1"/>
  <c r="N37" i="26"/>
  <c r="AC33" i="23" s="1"/>
  <c r="O41" i="26"/>
  <c r="AJ37" i="23" s="1"/>
  <c r="N41" i="26"/>
  <c r="AC37" i="23" s="1"/>
  <c r="O45" i="26"/>
  <c r="AJ41" i="23" s="1"/>
  <c r="N45" i="26"/>
  <c r="AC41" i="23" s="1"/>
  <c r="O49" i="26"/>
  <c r="AJ45" i="23" s="1"/>
  <c r="N49" i="26"/>
  <c r="AC45" i="23" s="1"/>
  <c r="N52" i="26"/>
  <c r="AC48" i="23" s="1"/>
  <c r="O52" i="26"/>
  <c r="AJ48" i="23" s="1"/>
  <c r="N28" i="24"/>
  <c r="AF25" i="23" s="1"/>
  <c r="M28" i="24"/>
  <c r="Y25" i="23" s="1"/>
  <c r="P22" i="25"/>
  <c r="AH11" i="23" s="1"/>
  <c r="AH79" i="23" s="1"/>
  <c r="N35" i="23" s="1"/>
  <c r="O35" i="23" s="1"/>
  <c r="O22" i="25"/>
  <c r="AA11" i="23" s="1"/>
  <c r="O23" i="26"/>
  <c r="AJ19" i="23" s="1"/>
  <c r="N23" i="26"/>
  <c r="AC19" i="23" s="1"/>
  <c r="O31" i="26"/>
  <c r="AJ27" i="23" s="1"/>
  <c r="N31" i="26"/>
  <c r="AC27" i="23" s="1"/>
  <c r="O35" i="26"/>
  <c r="AJ31" i="23" s="1"/>
  <c r="N35" i="26"/>
  <c r="AC31" i="23" s="1"/>
  <c r="O39" i="26"/>
  <c r="AJ35" i="23" s="1"/>
  <c r="N39" i="26"/>
  <c r="AC35" i="23" s="1"/>
  <c r="M13" i="19"/>
  <c r="R4" i="23" s="1"/>
  <c r="M18" i="19"/>
  <c r="R9" i="23" s="1"/>
  <c r="M23" i="19"/>
  <c r="R14" i="23" s="1"/>
  <c r="M29" i="19"/>
  <c r="R20" i="23" s="1"/>
  <c r="M34" i="19"/>
  <c r="R25" i="23" s="1"/>
  <c r="M39" i="19"/>
  <c r="R30" i="23" s="1"/>
  <c r="M45" i="19"/>
  <c r="R36" i="23" s="1"/>
  <c r="M50" i="19"/>
  <c r="R41" i="23" s="1"/>
  <c r="M55" i="19"/>
  <c r="R46" i="23" s="1"/>
  <c r="M61" i="19"/>
  <c r="R52" i="23" s="1"/>
  <c r="M66" i="19"/>
  <c r="R57" i="23" s="1"/>
  <c r="M71" i="19"/>
  <c r="R62" i="23" s="1"/>
  <c r="M77" i="19"/>
  <c r="R68" i="23" s="1"/>
  <c r="M82" i="19"/>
  <c r="R73" i="23" s="1"/>
  <c r="M87" i="19"/>
  <c r="R78" i="23" s="1"/>
  <c r="L28" i="20"/>
  <c r="N28" i="20"/>
  <c r="M17" i="21"/>
  <c r="V8" i="23" s="1"/>
  <c r="M22" i="21"/>
  <c r="V13" i="23" s="1"/>
  <c r="M27" i="21"/>
  <c r="V18" i="23" s="1"/>
  <c r="M33" i="21"/>
  <c r="V24" i="23" s="1"/>
  <c r="M38" i="21"/>
  <c r="V29" i="23" s="1"/>
  <c r="M43" i="21"/>
  <c r="V34" i="23" s="1"/>
  <c r="M49" i="21"/>
  <c r="V40" i="23" s="1"/>
  <c r="M54" i="21"/>
  <c r="V45" i="23" s="1"/>
  <c r="X11" i="23"/>
  <c r="X14" i="23"/>
  <c r="N22" i="24"/>
  <c r="AF19" i="23" s="1"/>
  <c r="M22" i="24"/>
  <c r="Y19" i="23" s="1"/>
  <c r="N30" i="24"/>
  <c r="AF27" i="23" s="1"/>
  <c r="M30" i="24"/>
  <c r="Y27" i="23" s="1"/>
  <c r="M27" i="25"/>
  <c r="N27" i="25"/>
  <c r="X31" i="23"/>
  <c r="X35" i="23"/>
  <c r="M34" i="24"/>
  <c r="Y31" i="23" s="1"/>
  <c r="M36" i="24"/>
  <c r="Y33" i="23" s="1"/>
  <c r="M38" i="24"/>
  <c r="Y35" i="23" s="1"/>
  <c r="M40" i="24"/>
  <c r="Y37" i="23" s="1"/>
  <c r="M42" i="24"/>
  <c r="Y39" i="23" s="1"/>
  <c r="M44" i="24"/>
  <c r="Y41" i="23" s="1"/>
  <c r="M46" i="24"/>
  <c r="Y43" i="23" s="1"/>
  <c r="M48" i="24"/>
  <c r="Y45" i="23" s="1"/>
  <c r="M50" i="24"/>
  <c r="Y47" i="23" s="1"/>
  <c r="M52" i="24"/>
  <c r="Y49" i="23" s="1"/>
  <c r="M54" i="24"/>
  <c r="Y51" i="23" s="1"/>
  <c r="M56" i="24"/>
  <c r="Y53" i="23" s="1"/>
  <c r="M58" i="24"/>
  <c r="Y55" i="23" s="1"/>
  <c r="M60" i="24"/>
  <c r="Y57" i="23" s="1"/>
  <c r="M62" i="24"/>
  <c r="Y59" i="23" s="1"/>
  <c r="M64" i="24"/>
  <c r="Y61" i="23" s="1"/>
  <c r="M66" i="24"/>
  <c r="Y63" i="23" s="1"/>
  <c r="M70" i="24"/>
  <c r="Y67" i="23" s="1"/>
  <c r="M74" i="24"/>
  <c r="Y71" i="23" s="1"/>
  <c r="M78" i="24"/>
  <c r="Y75" i="23" s="1"/>
  <c r="O14" i="25"/>
  <c r="AA5" i="23" s="1"/>
  <c r="AA79" i="23" s="1"/>
  <c r="N25" i="23" s="1"/>
  <c r="O25" i="23" s="1"/>
  <c r="O19" i="25"/>
  <c r="AA9" i="23" s="1"/>
  <c r="N51" i="26"/>
  <c r="AC47" i="23" s="1"/>
  <c r="M54" i="26"/>
  <c r="X41" i="23"/>
  <c r="X45" i="23"/>
  <c r="O21" i="25"/>
  <c r="AA10" i="23" s="1"/>
  <c r="O23" i="25"/>
  <c r="AA12" i="23" s="1"/>
  <c r="O26" i="25"/>
  <c r="AA14" i="23" s="1"/>
  <c r="N8" i="26"/>
  <c r="N10" i="26"/>
  <c r="AC6" i="23" s="1"/>
  <c r="N12" i="26"/>
  <c r="AC8" i="23" s="1"/>
  <c r="N14" i="26"/>
  <c r="AC10" i="23" s="1"/>
  <c r="N16" i="26"/>
  <c r="AC12" i="23" s="1"/>
  <c r="N18" i="26"/>
  <c r="AC14" i="23" s="1"/>
  <c r="N20" i="26"/>
  <c r="AC16" i="23" s="1"/>
  <c r="N22" i="26"/>
  <c r="AC18" i="23" s="1"/>
  <c r="N24" i="26"/>
  <c r="AC20" i="23" s="1"/>
  <c r="N26" i="26"/>
  <c r="AC22" i="23" s="1"/>
  <c r="N28" i="26"/>
  <c r="AC24" i="23" s="1"/>
  <c r="N30" i="26"/>
  <c r="AC26" i="23" s="1"/>
  <c r="N32" i="26"/>
  <c r="AC28" i="23" s="1"/>
  <c r="N34" i="26"/>
  <c r="AC30" i="23" s="1"/>
  <c r="N36" i="26"/>
  <c r="AC32" i="23" s="1"/>
  <c r="N38" i="26"/>
  <c r="AC34" i="23" s="1"/>
  <c r="N40" i="26"/>
  <c r="AC36" i="23" s="1"/>
  <c r="N42" i="26"/>
  <c r="AC38" i="23" s="1"/>
  <c r="N44" i="26"/>
  <c r="AC40" i="23" s="1"/>
  <c r="N46" i="26"/>
  <c r="AC42" i="23" s="1"/>
  <c r="N48" i="26"/>
  <c r="AC44" i="23" s="1"/>
  <c r="G14" i="24"/>
  <c r="M20" i="19"/>
  <c r="R11" i="23" s="1"/>
  <c r="G30" i="24"/>
  <c r="M36" i="19"/>
  <c r="R27" i="23" s="1"/>
  <c r="G78" i="24"/>
  <c r="M84" i="19"/>
  <c r="R75" i="23" s="1"/>
  <c r="G11" i="26"/>
  <c r="M16" i="21"/>
  <c r="V7" i="23" s="1"/>
  <c r="G27" i="26"/>
  <c r="M32" i="21"/>
  <c r="V23" i="23" s="1"/>
  <c r="G43" i="26"/>
  <c r="M48" i="21"/>
  <c r="V39" i="23" s="1"/>
  <c r="G10" i="24"/>
  <c r="M16" i="19"/>
  <c r="R7" i="23" s="1"/>
  <c r="G26" i="24"/>
  <c r="M32" i="19"/>
  <c r="R23" i="23" s="1"/>
  <c r="G42" i="24"/>
  <c r="M48" i="19"/>
  <c r="R39" i="23" s="1"/>
  <c r="G58" i="24"/>
  <c r="M64" i="19"/>
  <c r="R55" i="23" s="1"/>
  <c r="G74" i="24"/>
  <c r="M80" i="19"/>
  <c r="R71" i="23" s="1"/>
  <c r="G23" i="26"/>
  <c r="M28" i="21"/>
  <c r="V19" i="23" s="1"/>
  <c r="G39" i="26"/>
  <c r="M44" i="21"/>
  <c r="V35" i="23" s="1"/>
  <c r="L89" i="19"/>
  <c r="G22" i="24"/>
  <c r="M28" i="19"/>
  <c r="R19" i="23" s="1"/>
  <c r="G38" i="24"/>
  <c r="M44" i="19"/>
  <c r="R35" i="23" s="1"/>
  <c r="G54" i="24"/>
  <c r="M60" i="19"/>
  <c r="R51" i="23" s="1"/>
  <c r="G70" i="24"/>
  <c r="M76" i="19"/>
  <c r="R67" i="23" s="1"/>
  <c r="F28" i="20"/>
  <c r="M17" i="20"/>
  <c r="T6" i="23" s="1"/>
  <c r="G19" i="26"/>
  <c r="M24" i="21"/>
  <c r="V15" i="23" s="1"/>
  <c r="G35" i="26"/>
  <c r="M40" i="21"/>
  <c r="V31" i="23" s="1"/>
  <c r="G51" i="26"/>
  <c r="M56" i="21"/>
  <c r="V47" i="23" s="1"/>
  <c r="G46" i="24"/>
  <c r="M52" i="19"/>
  <c r="R43" i="23" s="1"/>
  <c r="G62" i="24"/>
  <c r="M68" i="19"/>
  <c r="R59" i="23" s="1"/>
  <c r="G18" i="24"/>
  <c r="M24" i="19"/>
  <c r="R15" i="23" s="1"/>
  <c r="G34" i="24"/>
  <c r="M40" i="19"/>
  <c r="R31" i="23" s="1"/>
  <c r="G50" i="24"/>
  <c r="M56" i="19"/>
  <c r="R47" i="23" s="1"/>
  <c r="G66" i="24"/>
  <c r="M72" i="19"/>
  <c r="R63" i="23" s="1"/>
  <c r="N59" i="21"/>
  <c r="G15" i="26"/>
  <c r="M20" i="21"/>
  <c r="V11" i="23" s="1"/>
  <c r="G31" i="26"/>
  <c r="M36" i="21"/>
  <c r="V27" i="23" s="1"/>
  <c r="G47" i="26"/>
  <c r="M52" i="21"/>
  <c r="V43" i="23" s="1"/>
  <c r="D3" i="20"/>
  <c r="I30" i="20"/>
  <c r="I36" i="20"/>
  <c r="B79" i="23"/>
  <c r="N4" i="23" s="1"/>
  <c r="O4" i="23" s="1"/>
  <c r="O7" i="23" s="1"/>
  <c r="M8" i="23" s="1"/>
  <c r="X23" i="23"/>
  <c r="L83" i="24"/>
  <c r="N7" i="24"/>
  <c r="M7" i="24"/>
  <c r="N15" i="24"/>
  <c r="AF12" i="23" s="1"/>
  <c r="M15" i="24"/>
  <c r="Y12" i="23" s="1"/>
  <c r="D79" i="23"/>
  <c r="N5" i="23" s="1"/>
  <c r="O5" i="23" s="1"/>
  <c r="T4" i="23"/>
  <c r="X39" i="23"/>
  <c r="AE27" i="23"/>
  <c r="X27" i="23"/>
  <c r="I60" i="21"/>
  <c r="F111" i="22" s="1"/>
  <c r="N11" i="24"/>
  <c r="AF8" i="23" s="1"/>
  <c r="M11" i="24"/>
  <c r="Y8" i="23" s="1"/>
  <c r="K27" i="25"/>
  <c r="L13" i="25"/>
  <c r="L27" i="25" s="1"/>
  <c r="M10" i="24"/>
  <c r="Y7" i="23" s="1"/>
  <c r="M14" i="24"/>
  <c r="Y11" i="23" s="1"/>
  <c r="M9" i="24"/>
  <c r="Y6" i="23" s="1"/>
  <c r="M13" i="24"/>
  <c r="Y10" i="23" s="1"/>
  <c r="M17" i="24"/>
  <c r="Y14" i="23" s="1"/>
  <c r="P27" i="25" l="1"/>
  <c r="N54" i="26"/>
  <c r="AC4" i="23"/>
  <c r="AC79" i="23" s="1"/>
  <c r="N26" i="23" s="1"/>
  <c r="O26" i="23" s="1"/>
  <c r="R79" i="23"/>
  <c r="N14" i="23" s="1"/>
  <c r="O14" i="23" s="1"/>
  <c r="O54" i="26"/>
  <c r="O27" i="25"/>
  <c r="T79" i="23"/>
  <c r="N15" i="23" s="1"/>
  <c r="O15" i="23" s="1"/>
  <c r="O17" i="23" s="1"/>
  <c r="M18" i="23" s="1"/>
  <c r="M89" i="19"/>
  <c r="M83" i="24"/>
  <c r="Y4" i="23"/>
  <c r="Y79" i="23" s="1"/>
  <c r="N24" i="23" s="1"/>
  <c r="O24" i="23" s="1"/>
  <c r="N83" i="24"/>
  <c r="AF4" i="23"/>
  <c r="AF79" i="23" s="1"/>
  <c r="N34" i="23" s="1"/>
  <c r="O34" i="23" s="1"/>
  <c r="O37" i="23" s="1"/>
  <c r="M38" i="23" s="1"/>
  <c r="M59" i="21"/>
  <c r="M28" i="20"/>
  <c r="O27" i="23" l="1"/>
  <c r="M28" i="23" s="1"/>
  <c r="E359" i="11"/>
  <c r="E376" i="11" s="1"/>
  <c r="E237" i="11" l="1"/>
  <c r="E543" i="11" l="1"/>
  <c r="E9" i="11" l="1"/>
  <c r="E10" i="11" s="1"/>
  <c r="F14" i="1" s="1"/>
  <c r="B52" i="5" l="1"/>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A8" i="5"/>
  <c r="B83" i="4"/>
  <c r="A83" i="4"/>
  <c r="B82" i="4"/>
  <c r="A82" i="4"/>
  <c r="B81" i="4"/>
  <c r="A81" i="4"/>
  <c r="B80" i="4"/>
  <c r="A80" i="4"/>
  <c r="B79" i="4"/>
  <c r="A79" i="4"/>
  <c r="B78" i="4"/>
  <c r="A78" i="4"/>
  <c r="B77" i="4"/>
  <c r="A77" i="4"/>
  <c r="B76" i="4"/>
  <c r="A76" i="4"/>
  <c r="B75" i="4"/>
  <c r="A75" i="4"/>
  <c r="B74" i="4"/>
  <c r="A74" i="4"/>
  <c r="B73" i="4"/>
  <c r="A73" i="4"/>
  <c r="B72" i="4"/>
  <c r="A72" i="4"/>
  <c r="B71" i="4"/>
  <c r="A71" i="4"/>
  <c r="B70" i="4"/>
  <c r="A70" i="4"/>
  <c r="B69" i="4"/>
  <c r="A69" i="4"/>
  <c r="B68" i="4"/>
  <c r="A68" i="4"/>
  <c r="B67" i="4"/>
  <c r="A67" i="4"/>
  <c r="B66" i="4"/>
  <c r="A66" i="4"/>
  <c r="B65" i="4"/>
  <c r="A65" i="4"/>
  <c r="B64" i="4"/>
  <c r="A64" i="4"/>
  <c r="B63" i="4"/>
  <c r="A63" i="4"/>
  <c r="B62" i="4"/>
  <c r="A62" i="4"/>
  <c r="B61" i="4"/>
  <c r="A61" i="4"/>
  <c r="B60" i="4"/>
  <c r="A60" i="4"/>
  <c r="B59" i="4"/>
  <c r="A59" i="4"/>
  <c r="B58" i="4"/>
  <c r="A58" i="4"/>
  <c r="B57" i="4"/>
  <c r="A57" i="4"/>
  <c r="B56" i="4"/>
  <c r="A56" i="4"/>
  <c r="B55" i="4"/>
  <c r="A55" i="4"/>
  <c r="B54" i="4"/>
  <c r="A54" i="4"/>
  <c r="B53" i="4"/>
  <c r="A53" i="4"/>
  <c r="B52" i="4"/>
  <c r="A52" i="4"/>
  <c r="B51" i="4"/>
  <c r="A51" i="4"/>
  <c r="B50" i="4"/>
  <c r="A50" i="4"/>
  <c r="B49" i="4"/>
  <c r="A49" i="4"/>
  <c r="B48" i="4"/>
  <c r="A48" i="4"/>
  <c r="B47" i="4"/>
  <c r="A47" i="4"/>
  <c r="B46" i="4"/>
  <c r="A46" i="4"/>
  <c r="B45" i="4"/>
  <c r="A45" i="4"/>
  <c r="B44" i="4"/>
  <c r="A44" i="4"/>
  <c r="B43" i="4"/>
  <c r="A43" i="4"/>
  <c r="B42" i="4"/>
  <c r="A42" i="4"/>
  <c r="B41" i="4"/>
  <c r="A41" i="4"/>
  <c r="B40" i="4"/>
  <c r="A40" i="4"/>
  <c r="B39" i="4"/>
  <c r="A39" i="4"/>
  <c r="B38" i="4"/>
  <c r="A38" i="4"/>
  <c r="B37" i="4"/>
  <c r="A37" i="4"/>
  <c r="B36" i="4"/>
  <c r="A36" i="4"/>
  <c r="B35" i="4"/>
  <c r="A35" i="4"/>
  <c r="B34" i="4"/>
  <c r="A34" i="4"/>
  <c r="B33" i="4"/>
  <c r="A33" i="4"/>
  <c r="B32" i="4"/>
  <c r="A32" i="4"/>
  <c r="B31" i="4"/>
  <c r="A31" i="4"/>
  <c r="B30" i="4"/>
  <c r="A30" i="4"/>
  <c r="B29" i="4"/>
  <c r="A29" i="4"/>
  <c r="B28" i="4"/>
  <c r="A28" i="4"/>
  <c r="B27" i="4"/>
  <c r="A27" i="4"/>
  <c r="B26" i="4"/>
  <c r="A26" i="4"/>
  <c r="B25" i="4"/>
  <c r="A25" i="4"/>
  <c r="B24" i="4"/>
  <c r="A24" i="4"/>
  <c r="B23" i="4"/>
  <c r="A23" i="4"/>
  <c r="B22" i="4"/>
  <c r="A22" i="4"/>
  <c r="B21" i="4"/>
  <c r="A21" i="4"/>
  <c r="B20" i="4"/>
  <c r="A20" i="4"/>
  <c r="B19" i="4"/>
  <c r="A19" i="4"/>
  <c r="B18" i="4"/>
  <c r="A18" i="4"/>
  <c r="B17" i="4"/>
  <c r="A17" i="4"/>
  <c r="B16" i="4"/>
  <c r="A16" i="4"/>
  <c r="B15" i="4"/>
  <c r="A15" i="4"/>
  <c r="B14" i="4"/>
  <c r="A14" i="4"/>
  <c r="B13" i="4"/>
  <c r="A13" i="4"/>
  <c r="B12" i="4"/>
  <c r="A12" i="4"/>
  <c r="B11" i="4"/>
  <c r="A11" i="4"/>
  <c r="B10" i="4"/>
  <c r="A10" i="4"/>
  <c r="B9" i="4"/>
  <c r="A9" i="4"/>
  <c r="E88" i="1"/>
  <c r="G255" i="12"/>
  <c r="D47" i="3" s="1"/>
  <c r="C42" i="5" s="1"/>
  <c r="D57" i="3"/>
  <c r="C52" i="5" s="1"/>
  <c r="D56" i="3"/>
  <c r="C51" i="5" s="1"/>
  <c r="D55" i="3"/>
  <c r="C50" i="5" s="1"/>
  <c r="D54" i="3"/>
  <c r="C49" i="5" s="1"/>
  <c r="D53" i="3"/>
  <c r="C48" i="5" s="1"/>
  <c r="D52" i="3"/>
  <c r="C47" i="5" s="1"/>
  <c r="D51" i="3"/>
  <c r="C46" i="5" s="1"/>
  <c r="D50" i="3"/>
  <c r="C45" i="5" s="1"/>
  <c r="D49" i="3"/>
  <c r="C44" i="5" s="1"/>
  <c r="D48" i="3"/>
  <c r="C43" i="5" s="1"/>
  <c r="D46" i="3"/>
  <c r="C41" i="5" s="1"/>
  <c r="D45" i="3"/>
  <c r="C40" i="5" s="1"/>
  <c r="D44" i="3"/>
  <c r="C39" i="5" s="1"/>
  <c r="D43" i="3"/>
  <c r="C38" i="5" s="1"/>
  <c r="D42" i="3"/>
  <c r="C37" i="5" s="1"/>
  <c r="D41" i="3"/>
  <c r="C36" i="5" s="1"/>
  <c r="D40" i="3"/>
  <c r="C35" i="5" s="1"/>
  <c r="D39" i="3"/>
  <c r="C34" i="5" s="1"/>
  <c r="D37" i="3"/>
  <c r="C32" i="5" s="1"/>
  <c r="D36" i="3"/>
  <c r="C31" i="5" s="1"/>
  <c r="D35" i="3"/>
  <c r="C30" i="5" s="1"/>
  <c r="D34" i="3"/>
  <c r="C29" i="5" s="1"/>
  <c r="D33" i="3"/>
  <c r="C28" i="5" s="1"/>
  <c r="D32" i="3"/>
  <c r="C27" i="5" s="1"/>
  <c r="D31" i="3"/>
  <c r="C26" i="5" s="1"/>
  <c r="D30" i="3"/>
  <c r="C25" i="5" s="1"/>
  <c r="D26" i="3"/>
  <c r="C21" i="5" s="1"/>
  <c r="D24" i="3"/>
  <c r="C19" i="5" s="1"/>
  <c r="D22" i="3"/>
  <c r="C17" i="5" s="1"/>
  <c r="D21" i="3"/>
  <c r="C16" i="5" s="1"/>
  <c r="D20" i="3"/>
  <c r="C15" i="5" s="1"/>
  <c r="D19" i="3"/>
  <c r="C14" i="5" s="1"/>
  <c r="D18" i="3"/>
  <c r="C13" i="5" s="1"/>
  <c r="D17" i="3"/>
  <c r="C12" i="5" s="1"/>
  <c r="D16" i="3"/>
  <c r="C11" i="5" s="1"/>
  <c r="D15" i="3"/>
  <c r="C10" i="5" s="1"/>
  <c r="D14" i="3"/>
  <c r="C9" i="5" s="1"/>
  <c r="D13" i="3"/>
  <c r="C8" i="5" s="1"/>
  <c r="E327" i="12"/>
  <c r="F57" i="3" s="1"/>
  <c r="E319" i="12"/>
  <c r="F56" i="3" s="1"/>
  <c r="E311" i="12"/>
  <c r="F55" i="3" s="1"/>
  <c r="E303" i="12"/>
  <c r="F54" i="3" s="1"/>
  <c r="E299" i="12"/>
  <c r="F53" i="3" s="1"/>
  <c r="E295" i="12"/>
  <c r="F52" i="3" s="1"/>
  <c r="E286" i="12"/>
  <c r="F51" i="3" s="1"/>
  <c r="E282" i="12"/>
  <c r="F50" i="3" s="1"/>
  <c r="E278" i="12"/>
  <c r="F49" i="3" s="1"/>
  <c r="E270" i="12"/>
  <c r="F48" i="3" s="1"/>
  <c r="E253" i="12"/>
  <c r="F46" i="3" s="1"/>
  <c r="E246" i="12"/>
  <c r="F45" i="3" s="1"/>
  <c r="E239" i="12"/>
  <c r="F44" i="3" s="1"/>
  <c r="E231" i="12"/>
  <c r="F43" i="3" s="1"/>
  <c r="E223" i="12"/>
  <c r="F42" i="3" s="1"/>
  <c r="E215" i="12"/>
  <c r="F41" i="3" s="1"/>
  <c r="E207" i="12"/>
  <c r="F40" i="3" s="1"/>
  <c r="E199" i="12"/>
  <c r="F39" i="3" s="1"/>
  <c r="E177" i="12"/>
  <c r="F36" i="3" s="1"/>
  <c r="E169" i="12"/>
  <c r="F35" i="3" s="1"/>
  <c r="E161" i="12"/>
  <c r="F34" i="3" s="1"/>
  <c r="E154" i="12"/>
  <c r="F33" i="3" s="1"/>
  <c r="E146" i="12"/>
  <c r="F32" i="3" s="1"/>
  <c r="E138" i="12"/>
  <c r="F31" i="3" s="1"/>
  <c r="E130" i="12"/>
  <c r="F30" i="3" s="1"/>
  <c r="E122" i="12"/>
  <c r="E123" i="12" s="1"/>
  <c r="F29" i="3" s="1"/>
  <c r="E116" i="12"/>
  <c r="E117" i="12" s="1"/>
  <c r="F28" i="3" s="1"/>
  <c r="E110" i="12"/>
  <c r="E111" i="12" s="1"/>
  <c r="F27" i="3" s="1"/>
  <c r="E105" i="12"/>
  <c r="F26" i="3" s="1"/>
  <c r="G91" i="12"/>
  <c r="D25" i="3" s="1"/>
  <c r="C20" i="5" s="1"/>
  <c r="E89" i="12"/>
  <c r="F24" i="3" s="1"/>
  <c r="E76" i="12"/>
  <c r="F22" i="3" s="1"/>
  <c r="E68" i="12"/>
  <c r="F21" i="3" s="1"/>
  <c r="E60" i="12"/>
  <c r="F20" i="3" s="1"/>
  <c r="E52" i="12"/>
  <c r="F19" i="3" s="1"/>
  <c r="E45" i="12"/>
  <c r="F18" i="3" s="1"/>
  <c r="E38" i="12"/>
  <c r="F17" i="3" s="1"/>
  <c r="E23" i="12"/>
  <c r="F15" i="3" s="1"/>
  <c r="E31" i="12"/>
  <c r="F16" i="3" s="1"/>
  <c r="E16" i="12"/>
  <c r="F14" i="3" s="1"/>
  <c r="E9" i="12"/>
  <c r="F13" i="3" s="1"/>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D50" i="1"/>
  <c r="C45" i="4" s="1"/>
  <c r="E87" i="1"/>
  <c r="E86" i="1"/>
  <c r="E85" i="1"/>
  <c r="E84" i="1"/>
  <c r="E83" i="1"/>
  <c r="E82" i="1"/>
  <c r="E81" i="1"/>
  <c r="E80" i="1"/>
  <c r="E79" i="1"/>
  <c r="E78" i="1"/>
  <c r="E77" i="1"/>
  <c r="E76" i="1"/>
  <c r="E75" i="1"/>
  <c r="E74" i="1"/>
  <c r="E73" i="1"/>
  <c r="E72" i="1"/>
  <c r="E71" i="1"/>
  <c r="E70"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D88" i="1"/>
  <c r="C83" i="4" s="1"/>
  <c r="D87" i="1"/>
  <c r="C82" i="4" s="1"/>
  <c r="D85" i="1"/>
  <c r="C80" i="4" s="1"/>
  <c r="D81" i="1"/>
  <c r="C76" i="4" s="1"/>
  <c r="D80" i="1"/>
  <c r="C75" i="4" s="1"/>
  <c r="D79" i="1"/>
  <c r="C74" i="4" s="1"/>
  <c r="D78" i="1"/>
  <c r="C73" i="4" s="1"/>
  <c r="D77" i="1"/>
  <c r="C72" i="4" s="1"/>
  <c r="F76" i="1"/>
  <c r="D72" i="1"/>
  <c r="C67" i="4" s="1"/>
  <c r="D71" i="1"/>
  <c r="C66" i="4" s="1"/>
  <c r="D66" i="1"/>
  <c r="C61" i="4" s="1"/>
  <c r="D65" i="1"/>
  <c r="C60" i="4" s="1"/>
  <c r="D64" i="1"/>
  <c r="C59" i="4" s="1"/>
  <c r="D63" i="1"/>
  <c r="C58" i="4" s="1"/>
  <c r="D62" i="1"/>
  <c r="C57" i="4" s="1"/>
  <c r="D61" i="1"/>
  <c r="C56" i="4" s="1"/>
  <c r="D59" i="1"/>
  <c r="C54" i="4" s="1"/>
  <c r="D57" i="1"/>
  <c r="C52" i="4" s="1"/>
  <c r="D56" i="1"/>
  <c r="C51" i="4" s="1"/>
  <c r="D53" i="1"/>
  <c r="C48" i="4" s="1"/>
  <c r="D52" i="1"/>
  <c r="C47" i="4" s="1"/>
  <c r="D51" i="1"/>
  <c r="C46" i="4" s="1"/>
  <c r="D49" i="1"/>
  <c r="C44" i="4" s="1"/>
  <c r="D48" i="1"/>
  <c r="C43" i="4" s="1"/>
  <c r="D37" i="1"/>
  <c r="C32" i="4" s="1"/>
  <c r="D35" i="1"/>
  <c r="C30" i="4" s="1"/>
  <c r="D34" i="1"/>
  <c r="C29" i="4" s="1"/>
  <c r="D33" i="1"/>
  <c r="C28" i="4" s="1"/>
  <c r="D32" i="1"/>
  <c r="C27" i="4" s="1"/>
  <c r="D29" i="1"/>
  <c r="C24" i="4" s="1"/>
  <c r="D25" i="1"/>
  <c r="C20" i="4" s="1"/>
  <c r="D24" i="1"/>
  <c r="C19" i="4" s="1"/>
  <c r="D23" i="1"/>
  <c r="C18" i="4" s="1"/>
  <c r="D22" i="1"/>
  <c r="C17" i="4" s="1"/>
  <c r="D21" i="1"/>
  <c r="C16" i="4" s="1"/>
  <c r="D20" i="1"/>
  <c r="C15" i="4" s="1"/>
  <c r="D19" i="1"/>
  <c r="C14" i="4" s="1"/>
  <c r="D18" i="1"/>
  <c r="C13" i="4" s="1"/>
  <c r="D17" i="1"/>
  <c r="C12" i="4" s="1"/>
  <c r="D16" i="1"/>
  <c r="C11" i="4" s="1"/>
  <c r="D15" i="1"/>
  <c r="C10" i="4" s="1"/>
  <c r="I14" i="1"/>
  <c r="D14" i="1"/>
  <c r="C9" i="4" s="1"/>
  <c r="E191" i="11"/>
  <c r="E630" i="11"/>
  <c r="F88" i="1" s="1"/>
  <c r="E622" i="11"/>
  <c r="F87" i="1" s="1"/>
  <c r="E608" i="11"/>
  <c r="F85" i="1" s="1"/>
  <c r="E601" i="11"/>
  <c r="G598" i="11" s="1"/>
  <c r="D84" i="1" s="1"/>
  <c r="C79" i="4" s="1"/>
  <c r="E582" i="11"/>
  <c r="F81" i="1" s="1"/>
  <c r="E575" i="11"/>
  <c r="F80" i="1" s="1"/>
  <c r="E567" i="11"/>
  <c r="F79" i="1" s="1"/>
  <c r="E559" i="11"/>
  <c r="F78" i="1" s="1"/>
  <c r="E551" i="11"/>
  <c r="F77" i="1" s="1"/>
  <c r="G541" i="11"/>
  <c r="D76" i="1" s="1"/>
  <c r="C71" i="4" s="1"/>
  <c r="E539" i="11"/>
  <c r="F75" i="1" s="1"/>
  <c r="G537" i="11"/>
  <c r="D75" i="1" s="1"/>
  <c r="C70" i="4" s="1"/>
  <c r="E535" i="11"/>
  <c r="F74" i="1" s="1"/>
  <c r="G533" i="11"/>
  <c r="D74" i="1" s="1"/>
  <c r="C69" i="4" s="1"/>
  <c r="E531" i="11"/>
  <c r="F73" i="1" s="1"/>
  <c r="G529" i="11"/>
  <c r="D73" i="1" s="1"/>
  <c r="C68" i="4" s="1"/>
  <c r="E527" i="11"/>
  <c r="F72" i="1" s="1"/>
  <c r="E520" i="11"/>
  <c r="F71" i="1" s="1"/>
  <c r="E510" i="11"/>
  <c r="E587" i="11" s="1"/>
  <c r="E192" i="11" l="1"/>
  <c r="F38" i="1" s="1"/>
  <c r="G188" i="11"/>
  <c r="D38" i="1" s="1"/>
  <c r="C33" i="4" s="1"/>
  <c r="I73" i="1"/>
  <c r="I88" i="1"/>
  <c r="I75" i="1"/>
  <c r="I77" i="1"/>
  <c r="I71" i="1"/>
  <c r="I72" i="1"/>
  <c r="I87" i="1"/>
  <c r="I79" i="1"/>
  <c r="I81" i="1"/>
  <c r="I76" i="1"/>
  <c r="I80" i="1"/>
  <c r="I74" i="1"/>
  <c r="I78" i="1"/>
  <c r="I85" i="1"/>
  <c r="G113" i="12"/>
  <c r="D28" i="3" s="1"/>
  <c r="C23" i="5" s="1"/>
  <c r="G107" i="12"/>
  <c r="D27" i="3" s="1"/>
  <c r="C22" i="5" s="1"/>
  <c r="G119" i="12"/>
  <c r="D29" i="3" s="1"/>
  <c r="C24" i="5" s="1"/>
  <c r="E602" i="11"/>
  <c r="F84" i="1" s="1"/>
  <c r="E594" i="11"/>
  <c r="E611" i="11" s="1"/>
  <c r="E613" i="11" s="1"/>
  <c r="E588" i="11"/>
  <c r="F82" i="1" s="1"/>
  <c r="G584" i="11"/>
  <c r="D82" i="1" s="1"/>
  <c r="C77" i="4" s="1"/>
  <c r="E505" i="11"/>
  <c r="E490" i="11"/>
  <c r="F66" i="1" s="1"/>
  <c r="E483" i="11"/>
  <c r="F65" i="1" s="1"/>
  <c r="E475" i="11"/>
  <c r="F64" i="1" s="1"/>
  <c r="E468" i="11"/>
  <c r="F63" i="1" s="1"/>
  <c r="E461" i="11"/>
  <c r="F62" i="1" s="1"/>
  <c r="E454" i="11"/>
  <c r="F61" i="1" s="1"/>
  <c r="E447" i="11"/>
  <c r="F60" i="1" s="1"/>
  <c r="G445" i="11"/>
  <c r="D60" i="1" s="1"/>
  <c r="C55" i="4" s="1"/>
  <c r="E443" i="11"/>
  <c r="F59" i="1" s="1"/>
  <c r="I59" i="1" s="1"/>
  <c r="E434" i="11"/>
  <c r="E435" i="11" s="1"/>
  <c r="F58" i="1" s="1"/>
  <c r="I61" i="1" l="1"/>
  <c r="I65" i="1"/>
  <c r="I58" i="1"/>
  <c r="I60" i="1"/>
  <c r="I82" i="1"/>
  <c r="I64" i="1"/>
  <c r="I63" i="1"/>
  <c r="I66" i="1"/>
  <c r="I62" i="1"/>
  <c r="I38" i="1"/>
  <c r="I84" i="1"/>
  <c r="E614" i="11"/>
  <c r="F86" i="1" s="1"/>
  <c r="G610" i="11"/>
  <c r="D86" i="1" s="1"/>
  <c r="C81" i="4" s="1"/>
  <c r="E595" i="11"/>
  <c r="E596" i="11" s="1"/>
  <c r="F83" i="1" s="1"/>
  <c r="G590" i="11"/>
  <c r="D83" i="1" s="1"/>
  <c r="C78" i="4" s="1"/>
  <c r="E506" i="11"/>
  <c r="F69" i="1" s="1"/>
  <c r="G502" i="11"/>
  <c r="D69" i="1" s="1"/>
  <c r="C64" i="4" s="1"/>
  <c r="G431" i="11"/>
  <c r="D58" i="1" s="1"/>
  <c r="C53" i="4" s="1"/>
  <c r="E429" i="11"/>
  <c r="F57" i="1" s="1"/>
  <c r="E422" i="11"/>
  <c r="F56" i="1" s="1"/>
  <c r="E414" i="11"/>
  <c r="G411" i="11" s="1"/>
  <c r="D55" i="1" s="1"/>
  <c r="C50" i="4" s="1"/>
  <c r="E403" i="11"/>
  <c r="F53" i="1" s="1"/>
  <c r="E408" i="11"/>
  <c r="G405" i="11" s="1"/>
  <c r="D54" i="1" s="1"/>
  <c r="C49" i="4" s="1"/>
  <c r="E312" i="11"/>
  <c r="E313" i="11" s="1"/>
  <c r="E306" i="11"/>
  <c r="E304" i="11"/>
  <c r="E298" i="11"/>
  <c r="E296" i="11"/>
  <c r="E294" i="11"/>
  <c r="E288" i="11"/>
  <c r="E286" i="11"/>
  <c r="E284" i="11"/>
  <c r="E282" i="11"/>
  <c r="E280" i="11"/>
  <c r="E278" i="11"/>
  <c r="E276" i="11"/>
  <c r="E269" i="11"/>
  <c r="F49" i="1" s="1"/>
  <c r="E262" i="11"/>
  <c r="F48" i="1" s="1"/>
  <c r="E254" i="11"/>
  <c r="G251" i="11" s="1"/>
  <c r="D47" i="1" s="1"/>
  <c r="C42" i="4" s="1"/>
  <c r="E248" i="11"/>
  <c r="E249" i="11" s="1"/>
  <c r="F46" i="1" s="1"/>
  <c r="G240" i="11"/>
  <c r="D46" i="1" s="1"/>
  <c r="C41" i="4" s="1"/>
  <c r="G229" i="11"/>
  <c r="D45" i="1" s="1"/>
  <c r="C40" i="4" s="1"/>
  <c r="E238" i="11"/>
  <c r="F45" i="1" s="1"/>
  <c r="E226" i="11"/>
  <c r="G219" i="11"/>
  <c r="D43" i="1" s="1"/>
  <c r="C38" i="4" s="1"/>
  <c r="E221" i="11"/>
  <c r="F43" i="1" s="1"/>
  <c r="E216" i="11"/>
  <c r="G213" i="11" s="1"/>
  <c r="D42" i="1" s="1"/>
  <c r="C37" i="4" s="1"/>
  <c r="E211" i="11"/>
  <c r="F41" i="1" s="1"/>
  <c r="G209" i="11"/>
  <c r="D41" i="1" s="1"/>
  <c r="C36" i="4" s="1"/>
  <c r="E395" i="11" l="1"/>
  <c r="E377" i="11"/>
  <c r="I43" i="1"/>
  <c r="I48" i="1"/>
  <c r="I53" i="1"/>
  <c r="I83" i="1"/>
  <c r="I49" i="1"/>
  <c r="I41" i="1"/>
  <c r="I46" i="1"/>
  <c r="I56" i="1"/>
  <c r="I69" i="1"/>
  <c r="I86" i="1"/>
  <c r="I57" i="1"/>
  <c r="I45" i="1"/>
  <c r="E415" i="11"/>
  <c r="F55" i="1" s="1"/>
  <c r="E409" i="11"/>
  <c r="F54" i="1" s="1"/>
  <c r="E299" i="11"/>
  <c r="E300" i="11" s="1"/>
  <c r="E336" i="11"/>
  <c r="E337" i="11" s="1"/>
  <c r="E307" i="11"/>
  <c r="E308" i="11" s="1"/>
  <c r="E289" i="11"/>
  <c r="E290" i="11" s="1"/>
  <c r="E255" i="11"/>
  <c r="F47" i="1" s="1"/>
  <c r="G223" i="11"/>
  <c r="D44" i="1" s="1"/>
  <c r="C39" i="4" s="1"/>
  <c r="E217" i="11"/>
  <c r="F42" i="1" s="1"/>
  <c r="F51" i="1" l="1"/>
  <c r="I51" i="1" s="1"/>
  <c r="E315" i="11"/>
  <c r="E339" i="11"/>
  <c r="F52" i="1" s="1"/>
  <c r="I54" i="1"/>
  <c r="I55" i="1"/>
  <c r="I47" i="1"/>
  <c r="I42" i="1"/>
  <c r="E271" i="11"/>
  <c r="F50" i="1" s="1"/>
  <c r="G200" i="11"/>
  <c r="D40" i="1" s="1"/>
  <c r="C35" i="4" s="1"/>
  <c r="E205" i="11"/>
  <c r="E197" i="11"/>
  <c r="G194" i="11" s="1"/>
  <c r="D39" i="1" s="1"/>
  <c r="C34" i="4" s="1"/>
  <c r="I52" i="1" l="1"/>
  <c r="I50" i="1"/>
  <c r="E206" i="11"/>
  <c r="E207" i="11" s="1"/>
  <c r="F40" i="1" s="1"/>
  <c r="E198" i="11"/>
  <c r="F39" i="1" s="1"/>
  <c r="E186" i="11"/>
  <c r="F37" i="1" s="1"/>
  <c r="E176" i="11"/>
  <c r="E177" i="11" s="1"/>
  <c r="E169" i="11"/>
  <c r="E171" i="11" s="1"/>
  <c r="E172" i="11" s="1"/>
  <c r="G165" i="11" l="1"/>
  <c r="D36" i="1" s="1"/>
  <c r="C31" i="4" s="1"/>
  <c r="E178" i="11"/>
  <c r="E227" i="11" s="1"/>
  <c r="F44" i="1" s="1"/>
  <c r="I37" i="1"/>
  <c r="I39" i="1"/>
  <c r="I40" i="1"/>
  <c r="E163" i="11"/>
  <c r="F35" i="1" s="1"/>
  <c r="E155" i="11"/>
  <c r="F34" i="1" s="1"/>
  <c r="E147" i="11"/>
  <c r="F33" i="1" s="1"/>
  <c r="E139" i="11"/>
  <c r="F32" i="1" s="1"/>
  <c r="E120" i="11"/>
  <c r="F29" i="1" s="1"/>
  <c r="G107" i="11"/>
  <c r="D28" i="1" s="1"/>
  <c r="C23" i="4" s="1"/>
  <c r="E111" i="11"/>
  <c r="E112" i="11" s="1"/>
  <c r="E93" i="11"/>
  <c r="F25" i="1" s="1"/>
  <c r="E85" i="11"/>
  <c r="F24" i="1" s="1"/>
  <c r="E77" i="11"/>
  <c r="F23" i="1" s="1"/>
  <c r="E69" i="11"/>
  <c r="F22" i="1" s="1"/>
  <c r="E61" i="11"/>
  <c r="F21" i="1" s="1"/>
  <c r="E53" i="11"/>
  <c r="F20" i="1" s="1"/>
  <c r="E46" i="11"/>
  <c r="F19" i="1" s="1"/>
  <c r="E39" i="11"/>
  <c r="F18" i="1" s="1"/>
  <c r="F36" i="1" l="1"/>
  <c r="I23" i="1"/>
  <c r="I20" i="1"/>
  <c r="I24" i="1"/>
  <c r="I35" i="1"/>
  <c r="I21" i="1"/>
  <c r="I25" i="1"/>
  <c r="I32" i="1"/>
  <c r="I18" i="1"/>
  <c r="I22" i="1"/>
  <c r="I33" i="1"/>
  <c r="I44" i="1"/>
  <c r="I34" i="1"/>
  <c r="I19" i="1"/>
  <c r="I29" i="1"/>
  <c r="E113" i="11"/>
  <c r="F28" i="1" s="1"/>
  <c r="E32" i="11"/>
  <c r="F17" i="1" s="1"/>
  <c r="I36" i="1" l="1"/>
  <c r="I17" i="1"/>
  <c r="I28" i="1"/>
  <c r="E24" i="11"/>
  <c r="F16" i="1" s="1"/>
  <c r="E17" i="11"/>
  <c r="F15" i="1" s="1"/>
  <c r="I16" i="1" l="1"/>
  <c r="I15" i="1"/>
  <c r="G498" i="11"/>
  <c r="D68" i="1" s="1"/>
  <c r="C63" i="4" s="1"/>
  <c r="D8" i="3"/>
  <c r="C9" i="2"/>
  <c r="H59" i="3" l="1"/>
  <c r="E125" i="11"/>
  <c r="G122" i="11" l="1"/>
  <c r="D30" i="1" s="1"/>
  <c r="C25" i="4" s="1"/>
  <c r="E126" i="11"/>
  <c r="F30" i="1" s="1"/>
  <c r="I30" i="1" l="1"/>
  <c r="H89" i="1"/>
  <c r="E495" i="11"/>
  <c r="E500" i="11" s="1"/>
  <c r="F68" i="1" s="1"/>
  <c r="G29" i="2"/>
  <c r="G28" i="2"/>
  <c r="G27" i="2"/>
  <c r="G26" i="2"/>
  <c r="G25" i="2"/>
  <c r="G24" i="2"/>
  <c r="G23" i="2"/>
  <c r="G22" i="2"/>
  <c r="G21" i="2"/>
  <c r="G20" i="2"/>
  <c r="G19" i="2"/>
  <c r="G18" i="2"/>
  <c r="G17" i="2"/>
  <c r="D57" i="5"/>
  <c r="D66" i="5"/>
  <c r="D64" i="5"/>
  <c r="D62" i="5"/>
  <c r="D64" i="3"/>
  <c r="D62" i="3"/>
  <c r="D60" i="3"/>
  <c r="D9" i="3"/>
  <c r="D7" i="3"/>
  <c r="D6" i="3"/>
  <c r="D5" i="3"/>
  <c r="D36" i="2"/>
  <c r="D34" i="2"/>
  <c r="D32" i="2"/>
  <c r="C10" i="2"/>
  <c r="C8" i="2"/>
  <c r="C7" i="2"/>
  <c r="C6" i="2"/>
  <c r="C5" i="2"/>
  <c r="G16" i="2"/>
  <c r="E94" i="12"/>
  <c r="E95" i="12"/>
  <c r="I68" i="1" l="1"/>
  <c r="G30" i="2"/>
  <c r="G492" i="11"/>
  <c r="D67" i="1" s="1"/>
  <c r="C62" i="4" s="1"/>
  <c r="E96" i="12"/>
  <c r="E97" i="12" s="1"/>
  <c r="F25" i="3" s="1"/>
  <c r="I54" i="3"/>
  <c r="I51" i="3"/>
  <c r="I53" i="3"/>
  <c r="I50" i="3"/>
  <c r="E190" i="12"/>
  <c r="E184" i="12"/>
  <c r="E185" i="12" s="1"/>
  <c r="F37" i="3" s="1"/>
  <c r="I33" i="3"/>
  <c r="I32" i="3"/>
  <c r="I31" i="3"/>
  <c r="I27" i="3"/>
  <c r="I19" i="3"/>
  <c r="E511" i="11"/>
  <c r="G508" i="11" s="1"/>
  <c r="D70" i="1" s="1"/>
  <c r="C65" i="4" s="1"/>
  <c r="E98" i="11"/>
  <c r="E131" i="11"/>
  <c r="E132" i="11" s="1"/>
  <c r="F31" i="1" s="1"/>
  <c r="A14" i="3"/>
  <c r="I45" i="3"/>
  <c r="I30" i="3"/>
  <c r="I24" i="3"/>
  <c r="I18" i="3"/>
  <c r="I17" i="3"/>
  <c r="I15" i="3"/>
  <c r="I13" i="3"/>
  <c r="I55" i="3"/>
  <c r="I48" i="3"/>
  <c r="I43" i="3"/>
  <c r="I42" i="3"/>
  <c r="I41" i="3"/>
  <c r="I39" i="3"/>
  <c r="I26" i="3"/>
  <c r="I21" i="3"/>
  <c r="I20" i="3"/>
  <c r="I16" i="3"/>
  <c r="E260" i="12"/>
  <c r="E81" i="12"/>
  <c r="G78" i="12" s="1"/>
  <c r="D23" i="3" s="1"/>
  <c r="C18" i="5" s="1"/>
  <c r="E104" i="11"/>
  <c r="I31" i="1" l="1"/>
  <c r="A15" i="3"/>
  <c r="A9" i="5"/>
  <c r="G187" i="12"/>
  <c r="D38" i="3" s="1"/>
  <c r="C33" i="5" s="1"/>
  <c r="G101" i="11"/>
  <c r="D27" i="1" s="1"/>
  <c r="C22" i="4" s="1"/>
  <c r="E105" i="11"/>
  <c r="F27" i="1" s="1"/>
  <c r="G95" i="11"/>
  <c r="D26" i="1" s="1"/>
  <c r="C21" i="4" s="1"/>
  <c r="E99" i="11"/>
  <c r="F26" i="1" s="1"/>
  <c r="E82" i="12"/>
  <c r="I28" i="3"/>
  <c r="I29" i="3"/>
  <c r="E512" i="11"/>
  <c r="F70" i="1" s="1"/>
  <c r="I36" i="3"/>
  <c r="I35" i="3"/>
  <c r="G128" i="11"/>
  <c r="D31" i="1" s="1"/>
  <c r="C26" i="4" s="1"/>
  <c r="E191" i="12"/>
  <c r="F38" i="3" s="1"/>
  <c r="E496" i="11"/>
  <c r="F67" i="1" s="1"/>
  <c r="I46" i="3"/>
  <c r="I14" i="3"/>
  <c r="E261" i="12"/>
  <c r="F47" i="3" s="1"/>
  <c r="I27" i="1" l="1"/>
  <c r="F23" i="3"/>
  <c r="I23" i="3" s="1"/>
  <c r="A16" i="3"/>
  <c r="A10" i="5"/>
  <c r="I67" i="1"/>
  <c r="I70" i="1"/>
  <c r="I26" i="1"/>
  <c r="I44" i="3"/>
  <c r="I56" i="3"/>
  <c r="I40" i="3"/>
  <c r="I38" i="3"/>
  <c r="I34" i="3"/>
  <c r="I57" i="3"/>
  <c r="I22" i="3"/>
  <c r="I52" i="3"/>
  <c r="I49" i="3"/>
  <c r="I37" i="3"/>
  <c r="A17" i="3" l="1"/>
  <c r="A11" i="5"/>
  <c r="I47" i="3"/>
  <c r="I89" i="1"/>
  <c r="I25" i="3"/>
  <c r="A18" i="3" l="1"/>
  <c r="A12" i="5"/>
  <c r="I59" i="3"/>
  <c r="A19" i="3" l="1"/>
  <c r="A13" i="5"/>
  <c r="A20" i="3" l="1"/>
  <c r="A14" i="5"/>
  <c r="A21" i="3" l="1"/>
  <c r="A15" i="5"/>
  <c r="A22" i="3" l="1"/>
  <c r="A16" i="5"/>
  <c r="A23" i="3" l="1"/>
  <c r="A17" i="5"/>
  <c r="A24" i="3" l="1"/>
  <c r="A18" i="5"/>
  <c r="A25" i="3" l="1"/>
  <c r="A19" i="5"/>
  <c r="A26" i="3" l="1"/>
  <c r="A20" i="5"/>
  <c r="A27" i="3" l="1"/>
  <c r="A21" i="5"/>
  <c r="A28" i="3" l="1"/>
  <c r="A22" i="5"/>
  <c r="A29" i="3" l="1"/>
  <c r="A23" i="5"/>
  <c r="A30" i="3" l="1"/>
  <c r="A24" i="5"/>
  <c r="A31" i="3" l="1"/>
  <c r="A25" i="5"/>
  <c r="A32" i="3" l="1"/>
  <c r="A26" i="5"/>
  <c r="A33" i="3" l="1"/>
  <c r="A27" i="5"/>
  <c r="A34" i="3" l="1"/>
  <c r="A28" i="5"/>
  <c r="A35" i="3" l="1"/>
  <c r="A29" i="5"/>
  <c r="A36" i="3" l="1"/>
  <c r="A30" i="5"/>
  <c r="A37" i="3" l="1"/>
  <c r="A31" i="5"/>
  <c r="A38" i="3" l="1"/>
  <c r="A32" i="5"/>
  <c r="A39" i="3" l="1"/>
  <c r="A33" i="5"/>
  <c r="A40" i="3" l="1"/>
  <c r="A34" i="5"/>
  <c r="A41" i="3" l="1"/>
  <c r="A35" i="5"/>
  <c r="A42" i="3" l="1"/>
  <c r="A36" i="5"/>
  <c r="A43" i="3" l="1"/>
  <c r="A37" i="5"/>
  <c r="A44" i="3" l="1"/>
  <c r="A38" i="5"/>
  <c r="A45" i="3" l="1"/>
  <c r="A39" i="5"/>
  <c r="A46" i="3" l="1"/>
  <c r="A40" i="5"/>
  <c r="A47" i="3" l="1"/>
  <c r="A41" i="5"/>
  <c r="A48" i="3" l="1"/>
  <c r="A42" i="5"/>
  <c r="A49" i="3" l="1"/>
  <c r="A43" i="5"/>
  <c r="A50" i="3" l="1"/>
  <c r="A44" i="5"/>
  <c r="A51" i="3" l="1"/>
  <c r="A45" i="5"/>
  <c r="A52" i="3" l="1"/>
  <c r="A46" i="5"/>
  <c r="A53" i="3" l="1"/>
  <c r="A47" i="5"/>
  <c r="A54" i="3" l="1"/>
  <c r="A48" i="5"/>
  <c r="A55" i="3" l="1"/>
  <c r="A49" i="5"/>
  <c r="A56" i="3" l="1"/>
  <c r="A50" i="5"/>
  <c r="A57" i="3" l="1"/>
  <c r="A51" i="5"/>
  <c r="A52" i="5" l="1"/>
</calcChain>
</file>

<file path=xl/sharedStrings.xml><?xml version="1.0" encoding="utf-8"?>
<sst xmlns="http://schemas.openxmlformats.org/spreadsheetml/2006/main" count="2067" uniqueCount="1180">
  <si>
    <t>Tanggal Penilaian</t>
  </si>
  <si>
    <t>No.</t>
  </si>
  <si>
    <t>No. Butir Penilaian</t>
  </si>
  <si>
    <t>Aspek Penilaian</t>
  </si>
  <si>
    <t>Informasi dari Borang PS</t>
  </si>
  <si>
    <t>Bobot</t>
  </si>
  <si>
    <t>Nilai*</t>
  </si>
  <si>
    <t>Strategi pencapaian sasaran dengan rentang waktu yang jelas dan didukung oleh dokumen.</t>
  </si>
  <si>
    <t>Tata pamong menjamin terwujudnya visi, terlaksananya misi, tercapainya tujuan, berhasilnya strategi yang digunakan secara kredibel, transparan, akuntabel, bertanggung jawab, dan adil.</t>
  </si>
  <si>
    <t>3.1.2</t>
  </si>
  <si>
    <t>3.1.3</t>
  </si>
  <si>
    <t>4.3.2</t>
  </si>
  <si>
    <t>4.3.3</t>
  </si>
  <si>
    <t>4.5.1</t>
  </si>
  <si>
    <t>4.5.2</t>
  </si>
  <si>
    <t>4.5.3</t>
  </si>
  <si>
    <t>4.5.4</t>
  </si>
  <si>
    <t>4.5.5</t>
  </si>
  <si>
    <t>Kebijakan tentang suasana akademik (otonomi keilmuan, kebebasan akademik, kebebasan mimbar akademik).</t>
  </si>
  <si>
    <t>Ketersediaan dan jenis prasarana, sarana dan dana yang memungkinkan terciptanya interaksi akademik antara sivitas akademika.</t>
  </si>
  <si>
    <t>6.2.1</t>
  </si>
  <si>
    <t>6.2.2</t>
  </si>
  <si>
    <t>6.3.1</t>
  </si>
  <si>
    <t>6.3.2</t>
  </si>
  <si>
    <t>6.4.2</t>
  </si>
  <si>
    <t>6.4.3</t>
  </si>
  <si>
    <t>Aksesibilitas data dalam sistem informasi.</t>
  </si>
  <si>
    <t>7.1.2</t>
  </si>
  <si>
    <t>7.2.1</t>
  </si>
  <si>
    <t>7.2.2</t>
  </si>
  <si>
    <t>7.3.1</t>
  </si>
  <si>
    <t>7.3.2</t>
  </si>
  <si>
    <t>Catatan: *Nilai skala 0 - 4</t>
  </si>
  <si>
    <t>Tanda Tangan :</t>
  </si>
  <si>
    <r>
      <t xml:space="preserve">Penilaian Dokumen </t>
    </r>
    <r>
      <rPr>
        <b/>
        <u/>
        <sz val="12"/>
        <color indexed="8"/>
        <rFont val="Arial"/>
        <family val="2"/>
      </rPr>
      <t>Perorangan</t>
    </r>
  </si>
  <si>
    <t xml:space="preserve">Nama Perguruan Tinggi </t>
  </si>
  <si>
    <t xml:space="preserve">Nama Fakultas </t>
  </si>
  <si>
    <t xml:space="preserve">Nama Program Studi </t>
  </si>
  <si>
    <t xml:space="preserve">Nama Asesor </t>
  </si>
  <si>
    <t>Penilaian*</t>
  </si>
  <si>
    <t>Asr-1</t>
  </si>
  <si>
    <t>Asr-2</t>
  </si>
  <si>
    <t>Nilai Akhir</t>
  </si>
  <si>
    <t>Akurasi dan kelengkapan data serta informasi yang digunakan untuk menyusun laporan evaluasi-diri</t>
  </si>
  <si>
    <t>a</t>
  </si>
  <si>
    <r>
      <t xml:space="preserve">Cara  program studi mengemukakan fakta tentang situasi program studi, pada semua komponen evaluasi-diri, a.l. kelengkapan data, kurun waktu yang cukup, </t>
    </r>
    <r>
      <rPr>
        <i/>
        <sz val="12"/>
        <color indexed="8"/>
        <rFont val="Arial Narrow"/>
        <family val="2"/>
      </rPr>
      <t>cross-reference</t>
    </r>
    <r>
      <rPr>
        <sz val="12"/>
        <color indexed="8"/>
        <rFont val="Arial Narrow"/>
        <family val="2"/>
      </rPr>
      <t>.</t>
    </r>
  </si>
  <si>
    <t>b</t>
  </si>
  <si>
    <t>Pengolahan data menjadi informasi yang bermanfaat, a.l. menggunakan metode-metode kuantitatif yang tepat, serta teknik representasi yang relevan.</t>
  </si>
  <si>
    <t>Kualitas analisis yang digunakan untuk mengidentifikasi dan merumuskan masalah pada semua komponen evaluasi-diri.</t>
  </si>
  <si>
    <t xml:space="preserve">Identifikasi dan perumusan masalah dilakukan dengan baik.  </t>
  </si>
  <si>
    <r>
      <t xml:space="preserve">Ketepatan dalam melakukan </t>
    </r>
    <r>
      <rPr>
        <i/>
        <sz val="12"/>
        <color indexed="8"/>
        <rFont val="Arial Narrow"/>
        <family val="2"/>
      </rPr>
      <t>appraisal,</t>
    </r>
    <r>
      <rPr>
        <sz val="12"/>
        <color indexed="8"/>
        <rFont val="Arial Narrow"/>
        <family val="2"/>
      </rPr>
      <t xml:space="preserve"> </t>
    </r>
    <r>
      <rPr>
        <i/>
        <sz val="12"/>
        <color indexed="8"/>
        <rFont val="Arial Narrow"/>
        <family val="2"/>
      </rPr>
      <t>judgment</t>
    </r>
    <r>
      <rPr>
        <sz val="12"/>
        <color indexed="8"/>
        <rFont val="Arial Narrow"/>
        <family val="2"/>
      </rPr>
      <t xml:space="preserve">, evaluasi, asesmen atas fakta tentang situasi di program studi. </t>
    </r>
  </si>
  <si>
    <t>c</t>
  </si>
  <si>
    <t>Permasalahan dan kelemahan yang ada dirumuskan dengan baik.</t>
  </si>
  <si>
    <t>d</t>
  </si>
  <si>
    <t>Deskripsi/Analisis SWOT berkenaan dengan ketepatan penempatan aspek dalam komponen SWOT, tumpuan penekanan analisis.</t>
  </si>
  <si>
    <t>Strategi pengembangan dan perbaikan program</t>
  </si>
  <si>
    <t xml:space="preserve">Ketepatan program studi memilih/ menentukan rencana perbaikan dari kekurangan yang ada. </t>
  </si>
  <si>
    <t xml:space="preserve">Kejelasan program studi menunjukkan cara untuk mengatasi masalah yang ada. </t>
  </si>
  <si>
    <t xml:space="preserve">Kelayakan dan kerealistikan strategi dan sasaran yang ingin dicapai. </t>
  </si>
  <si>
    <t>Keterpaduan dan keterkaitan antar komponen evaluasi-diri</t>
  </si>
  <si>
    <t>Komprehensif (dalam, luas dan terpadu).</t>
  </si>
  <si>
    <t>Kejelasan analisis intra dan antar komponen evaluasi-diri.</t>
  </si>
  <si>
    <t>Jumlah</t>
  </si>
  <si>
    <t>Catatan: *skor 1 - 4</t>
  </si>
  <si>
    <t>1.1.1</t>
  </si>
  <si>
    <t>1.1.2</t>
  </si>
  <si>
    <t>Tatapamong menjamin terwujudnya visi, terlaksanakannya misi, tercapainya tujuan, berhasilnya strategi yang digunakan secara kredibel, transparan, akuntabel, bertanggung jawab, dan adil.</t>
  </si>
  <si>
    <t>Kelengkapan dan efisiensi dalam struktur organisasi, serta dukungan struktur organisasi terhadap pengelolaan program-program studi di bawahnya.</t>
  </si>
  <si>
    <t>2.5.1</t>
  </si>
  <si>
    <t>Keberadaan dan efektivitas unit pelaksana penjaminan mutu.</t>
  </si>
  <si>
    <t>2.5.2</t>
  </si>
  <si>
    <t>Memiliki standar mutu.</t>
  </si>
  <si>
    <t>3.1.1</t>
  </si>
  <si>
    <t>Upaya pengembangan dan peningkatan mutu lulusan: jenis program yang dilakukan dan efektivitas pelaksanaannya.</t>
  </si>
  <si>
    <t>Upaya pengembangan dan peningkatan mutu dosen tetap.</t>
  </si>
  <si>
    <t>Dosen yang tugas belajar.</t>
  </si>
  <si>
    <t>4.1.3</t>
  </si>
  <si>
    <t>Upaya fakultas dalam mengembangkan tenaga dosen tetap.</t>
  </si>
  <si>
    <t>Kecukupan dan kualifikasi tenaga kependidikan.</t>
  </si>
  <si>
    <t xml:space="preserve">Investasi untuk pengadaan sarana dalam tiga tahun terakhir dibandingkan dengan kebutuhan saat ini. </t>
  </si>
  <si>
    <t xml:space="preserve">Rencana investasi untuk pengadaan sarana dalam lima tahun ke depan. </t>
  </si>
  <si>
    <t>6.4.4</t>
  </si>
  <si>
    <t>Banyaknya kegiatan penelitian (rata-rata jumlah penelitian per dosen per tiga tahun).</t>
  </si>
  <si>
    <t>Besar dana penelitian.</t>
  </si>
  <si>
    <t>Besar dana PkM.</t>
  </si>
  <si>
    <t>BERITA ACARA ASESMEN LAPANGAN PROGRAM STUDI</t>
  </si>
  <si>
    <t>Dari kegiatan tersebut diperoleh informasi butir-butir borang yang sesuai/tidak sesuai dengan kenyataan, dengan penjelasan sebagai tercantum di dalam daftar sebagai berikut.</t>
  </si>
  <si>
    <t>Informasi dari Borang PS Setelah Diverifikasi Melalui Wawancara dan Observasi</t>
  </si>
  <si>
    <t>Keterangan</t>
  </si>
  <si>
    <t>Catatan: *Coret yang tidak perlu</t>
  </si>
  <si>
    <t>Asesor</t>
  </si>
  <si>
    <t>Ketua Program Studi</t>
  </si>
  <si>
    <t>atau yang Ditugaskan</t>
  </si>
  <si>
    <t>No.Butir</t>
  </si>
  <si>
    <t>Penjelasan/Dasar Penilaian yang Diperoleh dari Dokumen Borang, Wawancara, dan Observasi</t>
  </si>
  <si>
    <t>Rekomendasi Pembinaan</t>
  </si>
  <si>
    <t>Berdasarkan hasil asesmen lapangan, penilaian untuk setiap butir, dasar penilaian,</t>
  </si>
  <si>
    <t xml:space="preserve"> dan rekomendasi pembinaan disajikan pada table berikut.</t>
  </si>
  <si>
    <t>Penjelasan/Dasar Penilaian yang Diperoleh dari Dokumen ED dan Observasi</t>
  </si>
  <si>
    <t>Standar 4. Sumber Daya Manusia</t>
  </si>
  <si>
    <t>Standar 5. Kurikulum, Pembelajaran, dan Suasana Akademik</t>
  </si>
  <si>
    <t xml:space="preserve">           </t>
  </si>
  <si>
    <t>RM</t>
  </si>
  <si>
    <t>Nilai</t>
  </si>
  <si>
    <t>f</t>
  </si>
  <si>
    <t>Na</t>
  </si>
  <si>
    <t>Nb</t>
  </si>
  <si>
    <t>Nc</t>
  </si>
  <si>
    <t>Nilai Kasar (NK)</t>
  </si>
  <si>
    <t>N</t>
  </si>
  <si>
    <t>Nilai x Bobot</t>
  </si>
  <si>
    <t>Nilai  Desk</t>
  </si>
  <si>
    <t>Nilai Desk</t>
  </si>
  <si>
    <t>Tanda Tangan</t>
  </si>
  <si>
    <t>Pimpinan Fakultas atau yang ditugaskan</t>
  </si>
  <si>
    <t>Standar 1. Visi, Misi, Tujuan dan Sasaran, serta Strategi Pencapaian</t>
  </si>
  <si>
    <t>Standar 2. Tata Pamong, Kepemimpinan, Sistem Pengelolaan,  dan Penjaminan Mutu</t>
  </si>
  <si>
    <t>Standar 6.  Pembiayaan, Sarana dan Prasarana, serta Sistem Informasi</t>
  </si>
  <si>
    <t>SEL YANG HARUS DIISI HANYA SEL YANG BERWARNA KUNING</t>
  </si>
  <si>
    <t>Skor</t>
  </si>
  <si>
    <t>NO. ITEM</t>
  </si>
  <si>
    <t>5.3</t>
  </si>
  <si>
    <t>Banyak tanda √ pada kolom (3)--&gt; Kisaran 0-12</t>
  </si>
  <si>
    <t>Banyak tanda √ pada kolom (5)--&gt; Kisaran 0-12</t>
  </si>
  <si>
    <t>NO. URUT</t>
  </si>
  <si>
    <t>1.2</t>
  </si>
  <si>
    <t>2.1</t>
  </si>
  <si>
    <t>2.2</t>
  </si>
  <si>
    <t>2.3</t>
  </si>
  <si>
    <t>2.4</t>
  </si>
  <si>
    <t>HANYA SEL YANG BERWARNA KUNING</t>
  </si>
  <si>
    <t>SEL YANG HARUS DIISI</t>
  </si>
  <si>
    <t>KETERANGAN</t>
  </si>
  <si>
    <t>NILAI</t>
  </si>
  <si>
    <t>Banyak tanda √ pada kolom (2)--&gt; Kisaran 0-12</t>
  </si>
  <si>
    <t>Banyak tanda √ pada kolom (4)--&gt; Kisaran 0-12</t>
  </si>
  <si>
    <t>4.2</t>
  </si>
  <si>
    <t>5.1</t>
  </si>
  <si>
    <t>5.2</t>
  </si>
  <si>
    <t>Rencana pengembangan prasarana oleh Fakultas untuk PS.</t>
  </si>
  <si>
    <t>Upaya pengembangan kegiatan penelitian oleh pihak Fakultas.</t>
  </si>
  <si>
    <t>Upaya pengembangan kegiatan PkM.</t>
  </si>
  <si>
    <t>Penjaringan umpan balik dan tindak lanjutnya. Sumber umpan balik antara lain dari: (1) dosen, (2) mahasiswa, (3) alumni, (4) pengguna lulusan.</t>
  </si>
  <si>
    <t>Tersedia sistem penerimaan  mahasiswa baru  dan dilaksanakan secara konsisten.  Dokumen sistem penerimaan mahasiswa baru mencakup: (1) kebijakan penerimaan mahasiswa baru, (2) kriteria penerimaan mahasiswa baru, (3) prosedur penerimaan mahasiswa baru, (4) instrumen; penerimaan mahasiswa baru, (5) sistem pengambilan keputusan.</t>
  </si>
  <si>
    <t>Banyak kegiatan PkM.</t>
  </si>
  <si>
    <t>Strategi pencapaian sasaran yang didasarkan atas evaluasi-diri dan keterlaksanaannya.</t>
  </si>
  <si>
    <t>Tingkat pemahaman sivitas akademika (dosen dan mahasiswa) dan tenaga kependidikan terhadap visi, misi, tujuan, dan sasaran program studi.</t>
  </si>
  <si>
    <t>Karakteristik kepemimpinan yang efektif  dalam hal kepemimpinan operasional, kepemimpinan organisasi, kepemimpinan publik.</t>
  </si>
  <si>
    <t>Penjaringan umpan balik  dan tindak lanjutnya. Sumber umpan balik antara lain dari: dosen, mahasiswa, alumni, pengguna lulusan.</t>
  </si>
  <si>
    <t>3.2.1.1</t>
  </si>
  <si>
    <t>3.2.1.2</t>
  </si>
  <si>
    <t>3.2.3</t>
  </si>
  <si>
    <t>3.2.4</t>
  </si>
  <si>
    <t>Partisipasi alumni dalam mendukung pengembangan akademik dan non-akademik program studi.</t>
  </si>
  <si>
    <t>5.1.1</t>
  </si>
  <si>
    <t>5.1.2</t>
  </si>
  <si>
    <t>5.6.1</t>
  </si>
  <si>
    <t>5.6.2</t>
  </si>
  <si>
    <t>5.6.3</t>
  </si>
  <si>
    <t>Program dan kegiatan akademik untuk menciptakan suasana akademik (seminar, symposium, lokakarya, bedah buku, penelitian bersama dll).</t>
  </si>
  <si>
    <t>Pengembangan sikap professional, mencakup aspek etika kedokteran, kemampuan kerjasama dalam tim, dan hubungan dokter pasien.</t>
  </si>
  <si>
    <t>Keterlibatan program studi dalam perencanaan target kinerja, perencanaan kegiatan kerja dan perencanaan alokasi dan pengelolaan dana.</t>
  </si>
  <si>
    <t>Penggunaan dana penelitian tiga tahun terakhir.</t>
  </si>
  <si>
    <t>7.2.3</t>
  </si>
  <si>
    <t xml:space="preserve">Keterlibatan mahasiswa dalam kegiatan penelitian dosen. </t>
  </si>
  <si>
    <t>7.4.1</t>
  </si>
  <si>
    <t>7.4.2</t>
  </si>
  <si>
    <t>Kejelasan dan kerealistisan visi, misi, tujuan, dan sasaran fakultas.</t>
  </si>
  <si>
    <t>Pemahaman  visi, misi, tujuan, dan sasaran fakultas oleh seluruh pemangku kepentingan internal (internal stakeholders): sivitas akademika (dosen dan mahasiswa) dan tenaga kependidikan.</t>
  </si>
  <si>
    <t>Kepemimpinan fakultas memiliki karakteristik: kepemimpinan operasional, kepemimpinan organisasi, dan kepemimpinan publik yang efektif.</t>
  </si>
  <si>
    <r>
      <t xml:space="preserve">Efektivitas sistem pengelolaan fungsional dan operasional fakultas mencakup: </t>
    </r>
    <r>
      <rPr>
        <i/>
        <sz val="10"/>
        <rFont val="Arial"/>
        <family val="2"/>
      </rPr>
      <t>planning, organizing</t>
    </r>
    <r>
      <rPr>
        <sz val="10"/>
        <rFont val="Arial"/>
        <family val="2"/>
      </rPr>
      <t xml:space="preserve">, </t>
    </r>
    <r>
      <rPr>
        <i/>
        <sz val="10"/>
        <rFont val="Arial"/>
        <family val="2"/>
      </rPr>
      <t xml:space="preserve">staffing, leading, controlling. </t>
    </r>
  </si>
  <si>
    <t>Ketersediaan standar mutu dan pelaksanaannya.</t>
  </si>
  <si>
    <t>Ketersediaan dokumen tentang penerimaan mahasiswa baru dan konsistensi pelaksanaannya.</t>
  </si>
  <si>
    <t>Rasio total mahasiswa baru transfer terhadap total mahasiswa baru keseluruhan.</t>
  </si>
  <si>
    <t>Motivasi penerimaan mahasiswa transfer dan program internasional. Alasan menerima mahasiswa transfer seharusnya untuk meningkatkan layanan pendidikan.  Penerimaan mahasiswa transfer dilakukan dengan proses seleksi yang baik/ketat dalam upaya tetap menjaga mutu, tidak hanya  karena pertimbangan ekonomi semata.</t>
  </si>
  <si>
    <t>4.1.1.1</t>
  </si>
  <si>
    <t>4.1.1.2</t>
  </si>
  <si>
    <r>
      <t xml:space="preserve">Dosen tetap yang memiliki jabatan minimal </t>
    </r>
    <r>
      <rPr>
        <sz val="10"/>
        <color indexed="8"/>
        <rFont val="Arial"/>
        <family val="2"/>
      </rPr>
      <t>lektor kepala</t>
    </r>
    <r>
      <rPr>
        <sz val="10"/>
        <rFont val="Arial"/>
        <family val="2"/>
      </rPr>
      <t>.</t>
    </r>
  </si>
  <si>
    <t>4.1.1.3</t>
  </si>
  <si>
    <t>Dosen tetap yang memiliki jabatan guru besar.</t>
  </si>
  <si>
    <t>4.1.2.1</t>
  </si>
  <si>
    <t>4.1.2.2</t>
  </si>
  <si>
    <t>4.1.2.3</t>
  </si>
  <si>
    <t>Dosen yang memperoleh gelar tambahan.</t>
  </si>
  <si>
    <r>
      <t xml:space="preserve">Bentuk dukungan fakultas dalam </t>
    </r>
    <r>
      <rPr>
        <sz val="10"/>
        <rFont val="Arial"/>
        <family val="2"/>
      </rPr>
      <t>penyusunan, implementasi, dan pengembangan kurikulum.</t>
    </r>
  </si>
  <si>
    <t>Mekanisme monitoring dan evaluasi oleh fakultas dan pemanfaatan hasilnya untuk perbaikan proses pembelajaran.</t>
  </si>
  <si>
    <r>
      <t xml:space="preserve">Bentuk dukungan </t>
    </r>
    <r>
      <rPr>
        <sz val="10"/>
        <rFont val="Arial"/>
        <family val="2"/>
      </rPr>
      <t>fakultas dalam penciptaan suasana akademik yang kondusif. Bentuk dukungan fakultas  dapat  berupa kebijakan tentang suasana akademik, menyediakan sarana dan prasarana, dukungan dana yang cukup, dan kegiatan akademik di dalam dan di luar kelas yang mendorong interaksi akademik antara dosen dan mahasiswa untuk pengembangan  perilaku kecendekiawanan.</t>
    </r>
  </si>
  <si>
    <t>6.1.1</t>
  </si>
  <si>
    <r>
      <t>Persentase dana fakultas yang berasal dari mahasiswa</t>
    </r>
    <r>
      <rPr>
        <sz val="10"/>
        <color indexed="8"/>
        <rFont val="Arial"/>
        <family val="2"/>
      </rPr>
      <t>.</t>
    </r>
  </si>
  <si>
    <t>6.1.2.1</t>
  </si>
  <si>
    <t>Kecukupan dana yang diperoleh fakultas.</t>
  </si>
  <si>
    <t>6.1.2.2</t>
  </si>
  <si>
    <t>Upaya pengembangan dana oleh fakultas.</t>
  </si>
  <si>
    <t xml:space="preserve">Rencana investasi untuk pengadaan sarana dalam lima tahun ke depan </t>
  </si>
  <si>
    <r>
      <t>Mutu dan kecukupan akses p</t>
    </r>
    <r>
      <rPr>
        <sz val="10"/>
        <rFont val="Arial"/>
        <family val="2"/>
      </rPr>
      <t>rasarana yang dikelola fakultas untuk keperluan PS.</t>
    </r>
  </si>
  <si>
    <t>Rencana pengembangan prasarana oleh fakultas untuk program studi.</t>
  </si>
  <si>
    <t>6.4.1.1</t>
  </si>
  <si>
    <r>
      <t>Sistem informasi</t>
    </r>
    <r>
      <rPr>
        <sz val="10"/>
        <rFont val="Arial"/>
        <family val="2"/>
      </rPr>
      <t xml:space="preserve"> dan fasilitas yang digunakan fakultas</t>
    </r>
    <r>
      <rPr>
        <sz val="10"/>
        <color indexed="8"/>
        <rFont val="Arial"/>
        <family val="2"/>
      </rPr>
      <t xml:space="preserve"> dalam proses pembelajaran </t>
    </r>
    <r>
      <rPr>
        <sz val="10"/>
        <rFont val="Arial"/>
        <family val="2"/>
      </rPr>
      <t>(</t>
    </r>
    <r>
      <rPr>
        <i/>
        <sz val="10"/>
        <rFont val="Arial"/>
        <family val="2"/>
      </rPr>
      <t>hardware</t>
    </r>
    <r>
      <rPr>
        <sz val="10"/>
        <rFont val="Arial"/>
        <family val="2"/>
      </rPr>
      <t xml:space="preserve">, </t>
    </r>
    <r>
      <rPr>
        <i/>
        <sz val="10"/>
        <rFont val="Arial"/>
        <family val="2"/>
      </rPr>
      <t>software</t>
    </r>
    <r>
      <rPr>
        <sz val="10"/>
        <rFont val="Arial"/>
        <family val="2"/>
      </rPr>
      <t xml:space="preserve">, </t>
    </r>
    <r>
      <rPr>
        <i/>
        <sz val="10"/>
        <rFont val="Arial"/>
        <family val="2"/>
      </rPr>
      <t>e-learning,</t>
    </r>
    <r>
      <rPr>
        <sz val="10"/>
        <rFont val="Arial"/>
        <family val="2"/>
      </rPr>
      <t xml:space="preserve"> perpustakaan, dll.)</t>
    </r>
  </si>
  <si>
    <t>6.4.1.2</t>
  </si>
  <si>
    <r>
      <t>Sistem informasi</t>
    </r>
    <r>
      <rPr>
        <sz val="10"/>
        <rFont val="Arial"/>
        <family val="2"/>
      </rPr>
      <t xml:space="preserve"> dan fasilitas yang digunakan fakultas</t>
    </r>
    <r>
      <rPr>
        <sz val="10"/>
        <color indexed="8"/>
        <rFont val="Arial"/>
        <family val="2"/>
      </rPr>
      <t xml:space="preserve"> dalam administrasi </t>
    </r>
    <r>
      <rPr>
        <sz val="10"/>
        <rFont val="Arial"/>
        <family val="2"/>
      </rPr>
      <t>(akademik, keuangan, personil, dll.).</t>
    </r>
  </si>
  <si>
    <r>
      <t xml:space="preserve">Media/cara penyebaran informasi/kebijakan untuk sivitas akademika di fakultas dapat dilakukan melalui enam jenis media: surat, faksimili, </t>
    </r>
    <r>
      <rPr>
        <i/>
        <sz val="10"/>
        <rFont val="Arial"/>
        <family val="2"/>
      </rPr>
      <t>mailing list, e-mail</t>
    </r>
    <r>
      <rPr>
        <sz val="10"/>
        <rFont val="Arial"/>
        <family val="2"/>
      </rPr>
      <t>, sms,buletin.</t>
    </r>
  </si>
  <si>
    <t>Rencana strategi pengembangan sistem informasi  jangka panjang: mempertimbangkan perkembangan teknologi informasi, dan komitmen Fakultas dalam hal pendanaan.</t>
  </si>
  <si>
    <t>7.1.1.1</t>
  </si>
  <si>
    <t>7.1.1.2</t>
  </si>
  <si>
    <t>Upaya pengembangan kegiatan penelitian oleh pihak fakultas.</t>
  </si>
  <si>
    <t>7.2.1.1</t>
  </si>
  <si>
    <t>7.2.1.2</t>
  </si>
  <si>
    <t>Jumlah dan relevansi kerjasama dengan instansi di dalam negeri dalam tiga tahun terakhir.</t>
  </si>
  <si>
    <t>Jumlah dan relevansi kerjasama dengan instansi di luar negeri dalam tiga tahun terakhir.</t>
  </si>
  <si>
    <t>Struktur Kurikulum. Yang dinilai adalah urutan yang logis, proporsional, konsisten dari struktur kurikulum. Isi kurikulum meliputi prinsip-prinsip metode ilmiah, ilmu biomedik, ilmu kedokteran klinik, ilmu humaniora, ilmu kedokteran komunitas, dan ilmu kedokteran keluarga.</t>
  </si>
  <si>
    <t>Total penerimaan dana (dalam juta rupiah)</t>
  </si>
  <si>
    <t>Penerimaan dana dari mahasiswa (dalam juta rupiah)</t>
  </si>
  <si>
    <t>Perolehan dana PS.</t>
  </si>
  <si>
    <t>Total dana penelitian dalam tiga tahun terakhir (juta rupiah)</t>
  </si>
  <si>
    <t>Total dana PkM dalam tiga tahun terakhir (juta rupiah)</t>
  </si>
  <si>
    <t>(                                            )</t>
  </si>
  <si>
    <t>Skor Akhir</t>
  </si>
  <si>
    <t>Efektivitas sosialisasi visi, misi PS: tingkat pemahaman sivitas akademika (dosen dan mahasiswa) dan tenaga kependidikan.</t>
  </si>
  <si>
    <t>Total mahasiswa baru bukan transfer dalam Fakultas untuk program reguler dan internasional.</t>
  </si>
  <si>
    <t>Skor akhir untuk seluruh program studi.</t>
  </si>
  <si>
    <r>
      <t xml:space="preserve">Rata-rata masa studi lulusan dan persentase IPK rata-rata </t>
    </r>
    <r>
      <rPr>
        <sz val="10"/>
        <rFont val="Calibri"/>
        <family val="2"/>
      </rPr>
      <t>≥</t>
    </r>
    <r>
      <rPr>
        <sz val="10"/>
        <rFont val="Arial"/>
        <family val="2"/>
      </rPr>
      <t xml:space="preserve"> 3.0.</t>
    </r>
  </si>
  <si>
    <t>Dosen tetap yang memiliki jabatan minimal lektor kepala.</t>
  </si>
  <si>
    <t>Rata-rata skor</t>
  </si>
  <si>
    <t>Persentase dana fakultas yang berasal dari mahasiswa.</t>
  </si>
  <si>
    <t>Upaya pengembangan dana oleh Fakultas.</t>
  </si>
  <si>
    <t>Kecukupan dana yang diperoleh Fakultas.</t>
  </si>
  <si>
    <t>Ingat, jumlah centang untuk keempat kolom maksimum 12.</t>
  </si>
  <si>
    <t>Rencana strategis pengembangan sistem informasi jangka panjang: mempertimbangkan perkembangan teknologi informasi, dan komitmen Fakultas dalam hal pendanaan.</t>
  </si>
  <si>
    <t>(                                         )</t>
  </si>
  <si>
    <t>Catatan: *skor 0 - 4</t>
  </si>
  <si>
    <t>Skor untuk TW</t>
  </si>
  <si>
    <t>Skor untuk PIPK</t>
  </si>
  <si>
    <t>: &lt;Isi Nama PT&gt;</t>
  </si>
  <si>
    <t>: &lt;Isi Nama Fakultas&gt;</t>
  </si>
  <si>
    <t>: &lt;Isi Nama PS&gt;</t>
  </si>
  <si>
    <t>: &lt;Isi Nama Asesor&gt;</t>
  </si>
  <si>
    <t>: &lt;Isi Tanggal Penilaian&gt;</t>
  </si>
  <si>
    <t xml:space="preserve">Nama Asesor   : </t>
  </si>
  <si>
    <t xml:space="preserve">Informasi dari Laporan Evaluasi Diri </t>
  </si>
  <si>
    <t>Catatan: *Nilai skala 1 - 4</t>
  </si>
  <si>
    <t>Informasi dari Borang Unit Pengelola Program Studi</t>
  </si>
  <si>
    <t>1. &lt;Nama Asesor 1&gt;</t>
  </si>
  <si>
    <t>2. &lt;Nama Asesor 2&gt;</t>
  </si>
  <si>
    <t>3. &lt;Nama Asesor 3&gt;</t>
  </si>
  <si>
    <t>Jumlah Asesor</t>
  </si>
  <si>
    <t>Asr-3</t>
  </si>
  <si>
    <t>Informasi dari Borang Unit Pengelola Program Studi Setelah Diverifikasi Melalui Wawancara dan Observasi</t>
  </si>
  <si>
    <t>orang (Isikan sel yang berwarna kuning dengan angka yang sesuai)</t>
  </si>
  <si>
    <t>Penjelasan/Dasar Penilaian yang Diperoleh dari Borang Unit Pengelola Program Studi, Wawancara, dan Observasi</t>
  </si>
  <si>
    <t>Strategi pencapaian sasaran: …</t>
  </si>
  <si>
    <t>Tingkat pemahaman sivitas akademika (dosen dan mahasiswa) dan tenaga kependidikan terhadap VMTS: …</t>
  </si>
  <si>
    <t>Tata pamong pada PS: …</t>
  </si>
  <si>
    <t>Karakteristik kepemimpinan PS: …</t>
  </si>
  <si>
    <t>Sistem pengelolaan fungsional dan operasional PS: …</t>
  </si>
  <si>
    <t>Pelaksanaan penjaminan mutu di tingkat PS: …</t>
  </si>
  <si>
    <t>Upaya untuk menjamin keberlanjutan PS: …</t>
  </si>
  <si>
    <t>Penjaringan umpan balik dan tindak lanjutnya: …</t>
  </si>
  <si>
    <t>Sistem rekrutmen calon mahasiswa baru: …</t>
  </si>
  <si>
    <r>
      <t>RM = T</t>
    </r>
    <r>
      <rPr>
        <vertAlign val="subscript"/>
        <sz val="10"/>
        <color theme="1"/>
        <rFont val="Arial"/>
        <family val="2"/>
      </rPr>
      <t>MB</t>
    </r>
    <r>
      <rPr>
        <sz val="10"/>
        <color theme="1"/>
        <rFont val="Arial"/>
        <family val="2"/>
      </rPr>
      <t>/T</t>
    </r>
    <r>
      <rPr>
        <vertAlign val="subscript"/>
        <sz val="10"/>
        <color theme="1"/>
        <rFont val="Arial"/>
        <family val="2"/>
      </rPr>
      <t>M</t>
    </r>
  </si>
  <si>
    <t>Layanan program studi kepada mahasiswa untuk membina dan mengembangkan penalaran, minat, bakat, seni, dan kesejahteraan: …</t>
  </si>
  <si>
    <t>Bentuk partisipasi lulusan dan alumni untuk kegiatan akademik dan non-akademik: …</t>
  </si>
  <si>
    <t>Tahap Akademik dan Profesi</t>
  </si>
  <si>
    <t>(1)</t>
  </si>
  <si>
    <t>(2)</t>
  </si>
  <si>
    <t>(3)</t>
  </si>
  <si>
    <t>(4)</t>
  </si>
  <si>
    <t>(5)</t>
  </si>
  <si>
    <t>Struktur kurikulum: …</t>
  </si>
  <si>
    <t>Ketersediaan dan jenis prasarana, sarana dan dana: …</t>
  </si>
  <si>
    <t>Program dan kegiatan akademik untuk menciptakan suasana akademik: …</t>
  </si>
  <si>
    <t xml:space="preserve">Persentase perolehan dana dari mahasiswa dibandingkan dengan total penerimaan dana </t>
  </si>
  <si>
    <t>Kejelasan dan kerealistikan visi, misi, tujuan, dan sasaran Fakultas/Sekolah Tinggi: …</t>
  </si>
  <si>
    <t>Strategi pencapaian sasaran dengan rentang waktu yang jelas dan didukung oleh dokumen: …</t>
  </si>
  <si>
    <t>Tata pamong pada UP PS: …</t>
  </si>
  <si>
    <t>Kelengkapan dan efisiensi dalam struktur organisasi, serta dukungan struktur organisasi terhadap pengelolaan PS: …</t>
  </si>
  <si>
    <t>Sistem pengelolaan fungsional dan operasional Fakultas/Sekolah Tinggi: …</t>
  </si>
  <si>
    <t>Keberadaan dan efektivitas unit pelaksana penjaminan mutu: …</t>
  </si>
  <si>
    <t>Memiliki standar mutu: …</t>
  </si>
  <si>
    <t>Sistem penerimaan  mahasiswa baru  dan konsistensi pelaksanaannya: …</t>
  </si>
  <si>
    <t>Rasio total mahasiswa baru transfer terhadap total mahasiswa baru keseluruhan</t>
  </si>
  <si>
    <t>Total mahasiswa baru transfer dalam Fakultas untuk program reguler dan internasional.</t>
  </si>
  <si>
    <t>Motivasi penerimaan mahasiswa transfer dan mahasiswa program internasional: …</t>
  </si>
  <si>
    <t>Upaya pengembangan dan peningkatan mutu lulusan:…</t>
  </si>
  <si>
    <t>Upaya pengembangan dan peningkatan mutu dosen tetap: …</t>
  </si>
  <si>
    <t>Dosen yang tugas belajar: …</t>
  </si>
  <si>
    <t>Dosen yang memperoleh gelar tambahan: …</t>
  </si>
  <si>
    <t>Upaya fakultas dalam mengembangkan tenaga dosen tetap: …</t>
  </si>
  <si>
    <t>Kecukupan dan kualifikasi tenaga kependidikan: …</t>
  </si>
  <si>
    <t>Bentuk dukungan Fakultas dalam penyusunan, implementasi, dan pengembangan kurikulum: …</t>
  </si>
  <si>
    <t>Mekanisme monitoring dan evaluasi oleh fakultas dan pemanfaatan hasilnya: …</t>
  </si>
  <si>
    <t>Bentuk dukungan Fakultas dalam penciptaan suasana akademik yang kondusif: …</t>
  </si>
  <si>
    <t>Kecukupan dana yang diperoleh Fakultas: …</t>
  </si>
  <si>
    <t>Upaya pengembangan dana oleh Fakultas: …</t>
  </si>
  <si>
    <t>Investasi untuk pengadaan sarana dalam tiga tahun terakhir dibandingkan dengan kebutuhan saat ini: …</t>
  </si>
  <si>
    <t>Rencana investasi untuk pengadaan sarana dalam lima tahun ke depan: …</t>
  </si>
  <si>
    <t>Mutu, kecukupan, akses prasarana yang dikelola Fakultas untuk PS: …</t>
  </si>
  <si>
    <t>Rencana pengembangan prasarana oleh Fakultas untuk PS: …</t>
  </si>
  <si>
    <t>Sistem informasi dan fasilitas yang digunakan Fakultas/Sekolah Tinggi dalam proses pembelajaran: …</t>
  </si>
  <si>
    <t>Sistem informasi dan fasilitas yang digunakan Fakultas dalam administrasi: …</t>
  </si>
  <si>
    <t>Media/cara penyebaran informasi untuk sivitas akademika di Fakultas: …</t>
  </si>
  <si>
    <t>Rencana strategis pengembangan sistem informasi jangka panjang: …</t>
  </si>
  <si>
    <t>Jumlah dan mutu kegiatan penelitian, dibandingkan dengan banyaknya dosen: …</t>
  </si>
  <si>
    <t>Besar dana penelitian per dosen tetap per tahun: …</t>
  </si>
  <si>
    <t>Upaya pengembangan kegiatan penelitian oleh pihak Fakultas: …</t>
  </si>
  <si>
    <t>Jumlah dan mutu kegiatan PkM, dibandingkan dengan banyaknya dosen: …</t>
  </si>
  <si>
    <t>Besar dana PkM per dosen tetap per tahun: …</t>
  </si>
  <si>
    <t>Upaya pengembangan kegiatan PkM: …</t>
  </si>
  <si>
    <t>Kode Panel</t>
  </si>
  <si>
    <t>: &lt;Isi Kode Panel&gt;</t>
  </si>
  <si>
    <t xml:space="preserve">Persentase dosen tetap berpendidikan minimal S-3/Sp. </t>
  </si>
  <si>
    <t>...................., ... - ....- 2014</t>
  </si>
  <si>
    <t xml:space="preserve"> Jakarta, …..-……- 2014</t>
  </si>
  <si>
    <t>Strategi pencapaian sasaran yang didasarkan atas evaluasi-diri dan keterlaksanaannya.
Mampu laksana adalah kesesuaian antara sasaran (yang terukur) dengan kapasitas sumber daya untuk pencapaiannya.</t>
  </si>
  <si>
    <t>Strategi pencapaian didasarkan pada hasil evaluasi-diri, serta mampu laksana.</t>
  </si>
  <si>
    <t>Tidak dipahami oleh seluruh sivitas akademika dan tenaga kependidikan.</t>
  </si>
  <si>
    <t>Dipahami dengan baik oleh sebagian  sivitas akademika dan tenaga kependidikan.</t>
  </si>
  <si>
    <t xml:space="preserve">Dipahami dengan baik oleh seluruh sivitas akademika  dan tenaga kependidikan. </t>
  </si>
  <si>
    <t>Tidak ada dokumen, data atau informasi yang sahih dan andal bahwa seluruh unsur tata pamong menjamin penyelenggaraan perguruan tinggi.</t>
  </si>
  <si>
    <t>Adanya dokumen, data dan informasi yang sahih dan andal bahwa seluruh unsur tata pamong menjamin penyelenggaraan perguruan tinggi yang memenuhi 1-2 dari lima pilar tata pamong.</t>
  </si>
  <si>
    <t>Adanya dokumen, data dan informasi yang sahih dan andal bahwa seluruh unsur tata pamong menjamin penyelenggaraan perguruan tinggi yang memenuhi tiga dari lima pilar tata pamong.</t>
  </si>
  <si>
    <t>Adanya dokumen, data dan informasi yang sahih dan andal bahwa seluruh unsur tata pamong menjamin penyelenggaraan perguruan tinggi yang memenuhi empat dari lima pilar tata pamong.</t>
  </si>
  <si>
    <t>Adanya dokumen, data dan informasi yang sahih dan andal bahwa seluruh unsur tata pamong menjamin penyelenggaraan perguruan tinggi yang memenuhi lima pilar tata pamong.</t>
  </si>
  <si>
    <t>2.2.1</t>
  </si>
  <si>
    <t>Tingkat pendidikan ketua program studi (KPS).</t>
  </si>
  <si>
    <t>Tingkat pendidikan KPS:…</t>
  </si>
  <si>
    <t>Pendidikan spesialis konsultan dan S-3.</t>
  </si>
  <si>
    <t>2.2.2</t>
  </si>
  <si>
    <t>Publikasi jurnal ketua program studi (KPS).</t>
  </si>
  <si>
    <t>Publikasi jurnal KPS:…</t>
  </si>
  <si>
    <t>Memiliki publikasi di jurnal nasional tidak terakreditasi.</t>
  </si>
  <si>
    <t>Memiliki publikasi di jurnal nasional terakreditasi sebagai penulis anggota.</t>
  </si>
  <si>
    <t>2.2.3</t>
  </si>
  <si>
    <t xml:space="preserve">Kepemimpinan program studi lemah dalam karakteristik berikut: 
(1) kepemimpinan operasional, (2) kepemimpinan organisasi, 
(3) kepemimpinan publik.
</t>
  </si>
  <si>
    <t xml:space="preserve">Kepemimpinan program studi memiliki karakter kepemimpinan yang kuat dalam salah satu dari karakteristik berikut: (1) kepemimpinan operasional, (2) kepemimpinan organisasi, 
(3) kepemimpinan publik.
</t>
  </si>
  <si>
    <t xml:space="preserve">Kepemimpinan program studi memiliki karakter kepemimpinan yang kuat dalam dua dari karakteristik berikut: (1) kepemimpinan operasional, (2) kepemimpinan organisasi, (3) kepemimpinan publik. 
</t>
  </si>
  <si>
    <t>Kepemimpinan program studi memiliki karakteristik yang kuat dalam: (1) kepemimpinan operasional, (2) kepemimpinan organisasi, (3) kepemimpinan publik.</t>
  </si>
  <si>
    <t>Tidak ada sistem pengelolaan.</t>
  </si>
  <si>
    <t>Sistem pengelolaan fungsional dan operasional program studi dilakukan tidak sesuai dengan SOP/buku pedoman/katalog.</t>
  </si>
  <si>
    <t>Sistem pengelolaan fungsional dan operasional program studi berjalan sesuai dengan SOP/buku pedoman/katalog, yang didukung dokumen yang lengkap.</t>
  </si>
  <si>
    <t>Tidak ada sistem penjaminan mutu.</t>
  </si>
  <si>
    <t>Ada sistem penjaminan mutu, tetapi tidak berfungsi.</t>
  </si>
  <si>
    <t>Sistem penjaminan mutu berfungsi sebagian namun  tidak ada umpan balik dan dokumen kurang lengkap.</t>
  </si>
  <si>
    <t>Sistem penjaminan mutu berjalan sesuai dengan standar penjaminan mutu, umpan balik tersedia tetapi tidak ada tindak lanjut.</t>
  </si>
  <si>
    <t>Sistem penjaminan mutu berjalan sesuai dengan standar penjaminan mutu, ada  umpan balik dan tindak lanjutnya, yang didukung dokumen yang lengkap.</t>
  </si>
  <si>
    <t>Tidak ada umpan balik.</t>
  </si>
  <si>
    <t>Umpan balik hanya diperoleh dari sebagian sumber dan tidak ada tindak lanjut.</t>
  </si>
  <si>
    <t>Umpan balik hanya diperoleh dari sebagian sumber dan ada tindak lanjut secara insidental.</t>
  </si>
  <si>
    <t>Umpan balik diperoleh dari dosen, peserta didik, alumni, dan pengguna serta ditindaklanjuti secara insidental.</t>
  </si>
  <si>
    <t>Umpan balik diperoleh dari dosen, peserta didik, alumni, dan pengguna serta ditindaklanjuti secara berkelanjutan.</t>
  </si>
  <si>
    <t xml:space="preserve">Upaya-upaya yang telah dilakukan penyelenggara program studi untuk menjamin keberlanjutan program studi ini antara lain mencakup: 
1. Upaya peningkatan mutu manajemen, 2. Upaya untuk peningkatan mutu lulusan, 3. Upaya untuk melaksanakan dan meningkatkan hasil kerjasama kemitraan, 4. Upaya dan prestasi memperoleh pendanaan
5. Upaya peningkatan minat.
</t>
  </si>
  <si>
    <t>Tidak ada upaya.</t>
  </si>
  <si>
    <t>Ada bukti hanya satu upaya yang dilakukan.</t>
  </si>
  <si>
    <t>Ada bukti dua upaya telah dilakukan berikut hasilnya.</t>
  </si>
  <si>
    <t>Ada bukti tiga upaya telah dilakukan berikut hasilnya.</t>
  </si>
  <si>
    <t>Ada bukti semua upaya dilakukan berikut hasilnya.</t>
  </si>
  <si>
    <t xml:space="preserve">Sistem rekrutmen calon mahasiswa baru: dokumentasi kebijakan dan konsistensi pelaksanaannya.
Dokumen sistem penerimaan peserta pendidikan baru mencakup:
1) Kebijakan penerimaan peserta pendidikan baru
2) Kriteria penerimaan peserta pendidikan baru 
3) Prosedur penerimaan peserta pendidikan baru
4) Instrumen penerimaan peserta pendidikan baru 
5) Sistem pengambilan keputusan
</t>
  </si>
  <si>
    <t>Tidak tersedia  dokumen tentang penerimaan peserta pendidikan baru.</t>
  </si>
  <si>
    <t>Tersedia dokumen tentang penerimaan peserta pendidikan baru namun tidak dilaksanakan secara konsisten.</t>
  </si>
  <si>
    <t>Tersedia dokumen tentang penerimaan peserta pendidikan baru dan dilaksanakan sangat konsisten.</t>
  </si>
  <si>
    <t>Rasio = (jumlah kolom 3)/(jumlah kolom 4)</t>
  </si>
  <si>
    <t>Rasio calon peserta didik yang ikut seleksi : lulus seleksi</t>
  </si>
  <si>
    <t>Jumlah kolom 4 (Jumlah peserta didik yang lulus seleksi)</t>
  </si>
  <si>
    <t>Jumlah kolom 3 (Jumlah peserta didik yang ikut seleksi)</t>
  </si>
  <si>
    <t>Rasio peserta didik baru : total peserta didik</t>
  </si>
  <si>
    <r>
      <t>T</t>
    </r>
    <r>
      <rPr>
        <vertAlign val="subscript"/>
        <sz val="10"/>
        <color indexed="8"/>
        <rFont val="Arial"/>
        <family val="2"/>
      </rPr>
      <t>M</t>
    </r>
    <r>
      <rPr>
        <sz val="10"/>
        <color indexed="8"/>
        <rFont val="Arial"/>
        <family val="2"/>
      </rPr>
      <t xml:space="preserve"> </t>
    </r>
  </si>
  <si>
    <r>
      <t>T</t>
    </r>
    <r>
      <rPr>
        <vertAlign val="subscript"/>
        <sz val="10"/>
        <color indexed="8"/>
        <rFont val="Arial"/>
        <family val="2"/>
      </rPr>
      <t>MB</t>
    </r>
  </si>
  <si>
    <t>3.2.2</t>
  </si>
  <si>
    <t>Indeks prestasi kumulatif (IPK) lulusan selama tiga tahun terakhir</t>
  </si>
  <si>
    <r>
      <t>N</t>
    </r>
    <r>
      <rPr>
        <vertAlign val="subscript"/>
        <sz val="10"/>
        <color theme="1"/>
        <rFont val="Arial"/>
        <family val="2"/>
      </rPr>
      <t>A</t>
    </r>
  </si>
  <si>
    <r>
      <t>N</t>
    </r>
    <r>
      <rPr>
        <vertAlign val="subscript"/>
        <sz val="10"/>
        <color theme="1"/>
        <rFont val="Arial"/>
        <family val="2"/>
      </rPr>
      <t>B</t>
    </r>
  </si>
  <si>
    <r>
      <t>N</t>
    </r>
    <r>
      <rPr>
        <vertAlign val="subscript"/>
        <sz val="10"/>
        <color theme="1"/>
        <rFont val="Arial"/>
        <family val="2"/>
      </rPr>
      <t>C</t>
    </r>
  </si>
  <si>
    <r>
      <t>Jumlah lulusan = N</t>
    </r>
    <r>
      <rPr>
        <vertAlign val="subscript"/>
        <sz val="10"/>
        <color theme="1"/>
        <rFont val="Arial"/>
        <family val="2"/>
      </rPr>
      <t>A</t>
    </r>
    <r>
      <rPr>
        <sz val="10"/>
        <color theme="1"/>
        <rFont val="Arial"/>
        <family val="2"/>
      </rPr>
      <t xml:space="preserve"> + N</t>
    </r>
    <r>
      <rPr>
        <vertAlign val="subscript"/>
        <sz val="10"/>
        <color theme="1"/>
        <rFont val="Arial"/>
        <family val="2"/>
      </rPr>
      <t>B</t>
    </r>
    <r>
      <rPr>
        <sz val="10"/>
        <color theme="1"/>
        <rFont val="Arial"/>
        <family val="2"/>
      </rPr>
      <t xml:space="preserve"> + N</t>
    </r>
    <r>
      <rPr>
        <vertAlign val="subscript"/>
        <sz val="10"/>
        <color theme="1"/>
        <rFont val="Arial"/>
        <family val="2"/>
      </rPr>
      <t>C</t>
    </r>
  </si>
  <si>
    <r>
      <t>S</t>
    </r>
    <r>
      <rPr>
        <vertAlign val="subscript"/>
        <sz val="10"/>
        <color theme="1"/>
        <rFont val="Arial"/>
        <family val="2"/>
      </rPr>
      <t>IPK</t>
    </r>
  </si>
  <si>
    <r>
      <t>S</t>
    </r>
    <r>
      <rPr>
        <vertAlign val="subscript"/>
        <sz val="10"/>
        <color theme="1"/>
        <rFont val="Arial"/>
        <family val="2"/>
      </rPr>
      <t>IPK</t>
    </r>
    <r>
      <rPr>
        <sz val="10"/>
        <color theme="1"/>
        <rFont val="Arial"/>
        <family val="2"/>
      </rPr>
      <t xml:space="preserve"> =  (2 x N</t>
    </r>
    <r>
      <rPr>
        <vertAlign val="subscript"/>
        <sz val="10"/>
        <color theme="1"/>
        <rFont val="Arial"/>
        <family val="2"/>
      </rPr>
      <t>A</t>
    </r>
    <r>
      <rPr>
        <sz val="10"/>
        <color theme="1"/>
        <rFont val="Arial"/>
        <family val="2"/>
      </rPr>
      <t xml:space="preserve"> + 3 x N</t>
    </r>
    <r>
      <rPr>
        <vertAlign val="subscript"/>
        <sz val="10"/>
        <color theme="1"/>
        <rFont val="Arial"/>
        <family val="2"/>
      </rPr>
      <t>B</t>
    </r>
    <r>
      <rPr>
        <sz val="10"/>
        <color theme="1"/>
        <rFont val="Arial"/>
        <family val="2"/>
      </rPr>
      <t xml:space="preserve"> + 4 x N</t>
    </r>
    <r>
      <rPr>
        <vertAlign val="subscript"/>
        <sz val="10"/>
        <color theme="1"/>
        <rFont val="Arial"/>
        <family val="2"/>
      </rPr>
      <t>C</t>
    </r>
    <r>
      <rPr>
        <sz val="10"/>
        <color theme="1"/>
        <rFont val="Arial"/>
        <family val="2"/>
      </rPr>
      <t>)/N.</t>
    </r>
  </si>
  <si>
    <t>Penghargaan atas prestasi peserta didik di bidang nalar, bakat dan minat diukur dari jenis kegiatan dan cakupannya.</t>
  </si>
  <si>
    <t>Penghargaan atas prestasi peserta didik di bidang nalar, bakat dan minat: …</t>
  </si>
  <si>
    <t>Ada bukti penghargaan juara lomba ilmiah, olah raga, maupun seni tingkat lokal PT.</t>
  </si>
  <si>
    <t>Ada bukti penghargaan juara lomba ilmiah, olah raga, maupun seni tingkat wilayah, dan lokal PT.</t>
  </si>
  <si>
    <t>Ada bukti penghargaan juara lomba ilmiah, olah raga, maupun seni tingkat nasional, wilayah, dan lokal PT.</t>
  </si>
  <si>
    <t>Ada bukti penghargaan juara lomba ilmiah, olah raga, maupun seni tingkat internasional, nasional, wilayah, dan lokal PT.</t>
  </si>
  <si>
    <t>Jumlah mahasiswa yang diterima pada S-09 (5 tahun yang lalu)</t>
  </si>
  <si>
    <t>Jumlah mahasiswa yang diterima pada S-09 yang telah lulus.</t>
  </si>
  <si>
    <t>(d)</t>
  </si>
  <si>
    <t>(f)</t>
  </si>
  <si>
    <r>
      <t>K</t>
    </r>
    <r>
      <rPr>
        <vertAlign val="subscript"/>
        <sz val="10"/>
        <color theme="1"/>
        <rFont val="Arial"/>
        <family val="2"/>
      </rPr>
      <t>TW</t>
    </r>
    <r>
      <rPr>
        <sz val="10"/>
        <color theme="1"/>
        <rFont val="Arial"/>
        <family val="2"/>
      </rPr>
      <t xml:space="preserve"> (Kelulusan tepat waktu, kisaran nilai 0 - 100%.)</t>
    </r>
  </si>
  <si>
    <t>Persentase kelulusan dokter spesialis tepat waktu</t>
  </si>
  <si>
    <t>3.2.5</t>
  </si>
  <si>
    <r>
      <t xml:space="preserve">Jumlah peserta ujian nasional </t>
    </r>
    <r>
      <rPr>
        <i/>
        <sz val="10"/>
        <color theme="1"/>
        <rFont val="Arial"/>
        <family val="2"/>
      </rPr>
      <t xml:space="preserve">first-taker </t>
    </r>
  </si>
  <si>
    <r>
      <t>Jumlah peserta ujian nasional</t>
    </r>
    <r>
      <rPr>
        <i/>
        <sz val="10"/>
        <color theme="1"/>
        <rFont val="Arial"/>
        <family val="2"/>
      </rPr>
      <t xml:space="preserve"> first-taker</t>
    </r>
    <r>
      <rPr>
        <sz val="10"/>
        <color theme="1"/>
        <rFont val="Arial"/>
        <family val="2"/>
      </rPr>
      <t xml:space="preserve"> yang lulus.</t>
    </r>
  </si>
  <si>
    <r>
      <t xml:space="preserve">Ujian nasional dalam tiga tahun terakhir. Persentase kelulusan </t>
    </r>
    <r>
      <rPr>
        <i/>
        <sz val="10"/>
        <rFont val="Arial"/>
        <family val="2"/>
      </rPr>
      <t>first-taker</t>
    </r>
  </si>
  <si>
    <t xml:space="preserve">Partisipasi alumni dalam mendukung pengembangan akademik dan non-akademik program studi dalam bentuk: 
1. Sumbangan fasilitas
2. Keterlibatan dalam kegiatan akademik dan non-akademik
3. Pengembangan Pendidikan Afiliasi dan Satelit
4. Penyediaan fasilitas untuk kegiatan akademik dan non-akademik
</t>
  </si>
  <si>
    <t>Tidak ada partisipasi alumni.</t>
  </si>
  <si>
    <t>Hanya 1 bentuk partisipasi saja yang dilakukan oleh alumni.</t>
  </si>
  <si>
    <t>Hanya 2 bentuk partisipasi yang dilakukan oleh alumni.</t>
  </si>
  <si>
    <t>Hanya 3 bentuk partisipasi yang dilakukan oleh alumni.</t>
  </si>
  <si>
    <t>Semua bentuk partisipasi dilakukan oleh alumni.</t>
  </si>
  <si>
    <t xml:space="preserve">Keberadaan pedoman tertulis tentang sistem seleksi, perekrutan, penempatan, promosi, retensi, dan pemberhentian dosen dan tenaga kependidikan, serta konsistensi  pelaksanaannya.
</t>
  </si>
  <si>
    <t>Sistem seleksi, perekrutan, penempatan, promosi, retensi, dan pemberhentian dosen dan tenaga kependidikan: …</t>
  </si>
  <si>
    <t>Tidak ada pedoman tertulis.</t>
  </si>
  <si>
    <t>Ada pedoman tertulis, tidak lengkap dan tidak dilaksanakan.</t>
  </si>
  <si>
    <t>Ada pedoman tertulis yang lengkap; tetapi tidak dilaksanakan.</t>
  </si>
  <si>
    <t>Ada pedoman tertulis yang lengkap; dan ada bukti dilaksanakan secara konsisten.</t>
  </si>
  <si>
    <t>Ada pedoman tertulis yang lengkap; dan ada bukti dilaksanakan tetapi tidak secara konsisten.</t>
  </si>
  <si>
    <t xml:space="preserve">Pedoman tertulis tentang sistem monitoring dan evaluasi, serta rekam jejak kinerja dosen dan tenaga kependidikan serta konsistensi pelaksanaannya.
</t>
  </si>
  <si>
    <t>Sistem monitoring dan evaluasi, serta rekam jejak kinerja dosen dan tenaga kependidikan: …</t>
  </si>
  <si>
    <t>4.3.1.1</t>
  </si>
  <si>
    <t>Masukkan angka "0" jika PS tidak memiliki program pendidikan konsultan, dan angka "1" jika PS memiliki program pendidikan konsultan.</t>
  </si>
  <si>
    <t>Isian untuk PS yang memiliki program pendidikan konsultan</t>
  </si>
  <si>
    <t>Jumlah subdivisi</t>
  </si>
  <si>
    <t>Jumlah dosen di RS Pendidikan</t>
  </si>
  <si>
    <t>Jumlah subdivisi x 2</t>
  </si>
  <si>
    <t>Isian untuk PS yang tidak memiliki 
program pendidikan konsultan</t>
  </si>
  <si>
    <t>Jumlah dosen di RS Pendidikan yang berpendidikan Sp.K</t>
  </si>
  <si>
    <t>Persentase dosen di RS Pendidikan yang perpendidikan Sp.K terhadap (jumlah subdivisi x 2)</t>
  </si>
  <si>
    <t>Skor 1</t>
  </si>
  <si>
    <t>Skor 2</t>
  </si>
  <si>
    <t xml:space="preserve">Persentase dosen di RS Pendidikan (Utama, Afiliasi dan Satelit) berpendidikan Sp.K  yang bidang keahliannya sesuai dengan kompetensi PS. 
</t>
  </si>
  <si>
    <t>Jumlah dosen di RS Pendidikan yang masa kerjanya &gt; 10 tahun</t>
  </si>
  <si>
    <t>Persentase dosen di RS Pendidikan yang masa kerjanya &gt; 10 tahun</t>
  </si>
  <si>
    <t>4.3.1.2</t>
  </si>
  <si>
    <t xml:space="preserve">Dosen di RS Pendidikan (Utama, Afiliasi dan Satelit) yang memiliki jabatan akademik yang bidang keahliannya sesuai dengan kompetensi PS.
</t>
  </si>
  <si>
    <t>Jika jumlah dosen dengan jabatan lektor kepala = 1.</t>
  </si>
  <si>
    <t>Jika jumlah dosen dengan jabatan lektor kepala &gt; 1.</t>
  </si>
  <si>
    <t>Jika jumlah dosen dengan jabatan guru besar ≥ 1.</t>
  </si>
  <si>
    <t>Jika dosen dengan jabatan lektor tidak ada.</t>
  </si>
  <si>
    <t>Dosen di RS Pendidikan (Utama, Afiliasi dan Satelit): …</t>
  </si>
  <si>
    <t>Jika jumlah dosen dengan jabatan lektor ≥ 1.</t>
  </si>
  <si>
    <t>4.3.1.4</t>
  </si>
  <si>
    <t>Jumlah dosen yang bidang keahliannya sesuai dengan bidang PS</t>
  </si>
  <si>
    <t>Jumlah peserta didik</t>
  </si>
  <si>
    <r>
      <t>R</t>
    </r>
    <r>
      <rPr>
        <vertAlign val="subscript"/>
        <sz val="10"/>
        <color theme="1"/>
        <rFont val="Arial"/>
        <family val="2"/>
      </rPr>
      <t>MD</t>
    </r>
  </si>
  <si>
    <t>Rasio peserta didik terhadap dosen yang bidang keahliannya sesuai dengan bidang PS</t>
  </si>
  <si>
    <t>4.3.1.5</t>
  </si>
  <si>
    <r>
      <t>N</t>
    </r>
    <r>
      <rPr>
        <vertAlign val="subscript"/>
        <sz val="10"/>
        <color theme="1"/>
        <rFont val="Arial"/>
        <family val="2"/>
      </rPr>
      <t>D</t>
    </r>
  </si>
  <si>
    <t>Jumlah dosen di RS Pendidikan (Utama, Afiliasi dan Satelit)</t>
  </si>
  <si>
    <r>
      <t>S</t>
    </r>
    <r>
      <rPr>
        <vertAlign val="subscript"/>
        <sz val="10"/>
        <color theme="1"/>
        <rFont val="Arial"/>
        <family val="2"/>
      </rPr>
      <t>IPK</t>
    </r>
    <r>
      <rPr>
        <sz val="10"/>
        <color theme="1"/>
        <rFont val="Arial"/>
        <family val="2"/>
      </rPr>
      <t xml:space="preserve"> =  (N</t>
    </r>
    <r>
      <rPr>
        <vertAlign val="subscript"/>
        <sz val="10"/>
        <color theme="1"/>
        <rFont val="Arial"/>
        <family val="2"/>
      </rPr>
      <t>A</t>
    </r>
    <r>
      <rPr>
        <sz val="10"/>
        <color theme="1"/>
        <rFont val="Arial"/>
        <family val="2"/>
      </rPr>
      <t xml:space="preserve"> + 2 x N</t>
    </r>
    <r>
      <rPr>
        <vertAlign val="subscript"/>
        <sz val="10"/>
        <color theme="1"/>
        <rFont val="Arial"/>
        <family val="2"/>
      </rPr>
      <t>B</t>
    </r>
    <r>
      <rPr>
        <sz val="10"/>
        <color theme="1"/>
        <rFont val="Arial"/>
        <family val="2"/>
      </rPr>
      <t xml:space="preserve"> + 3 x N</t>
    </r>
    <r>
      <rPr>
        <vertAlign val="subscript"/>
        <sz val="10"/>
        <color theme="1"/>
        <rFont val="Arial"/>
        <family val="2"/>
      </rPr>
      <t>C</t>
    </r>
    <r>
      <rPr>
        <sz val="10"/>
        <color theme="1"/>
        <rFont val="Arial"/>
        <family val="2"/>
      </rPr>
      <t xml:space="preserve"> + 4 x N</t>
    </r>
    <r>
      <rPr>
        <vertAlign val="subscript"/>
        <sz val="10"/>
        <color theme="1"/>
        <rFont val="Arial"/>
        <family val="2"/>
      </rPr>
      <t>D</t>
    </r>
    <r>
      <rPr>
        <sz val="10"/>
        <color theme="1"/>
        <rFont val="Arial"/>
        <family val="2"/>
      </rPr>
      <t>)/N.</t>
    </r>
  </si>
  <si>
    <t xml:space="preserve">Dosen di RS Pendidikan (Utama, Afiliasi dan Satelit) berdasarkan jenjang pendidikan profesi, masa kerja, dan fellowship.
</t>
  </si>
  <si>
    <t xml:space="preserve">Jumlah dosen di RS Pendidikan: Sp (&lt; 5th) </t>
  </si>
  <si>
    <t>Jumlah dosen di RS Pendidikan: Sp (5 -10th)</t>
  </si>
  <si>
    <t>Jumlah dosen di RS Pendidikan: Sp(&gt; 10th)</t>
  </si>
  <si>
    <t>Jumlah dosen di RS Pendidikan: Sp.K</t>
  </si>
  <si>
    <t>Rata-rata beban kerja dosen di RS Pendidikan (Utama, Afiliasi dan Satelit) per tahun (dalam jam)</t>
  </si>
  <si>
    <r>
      <t>R</t>
    </r>
    <r>
      <rPr>
        <vertAlign val="subscript"/>
        <sz val="10"/>
        <color theme="1"/>
        <rFont val="Arial"/>
        <family val="2"/>
      </rPr>
      <t>BKDT</t>
    </r>
  </si>
  <si>
    <t xml:space="preserve">Rata-rata beban kerja dosen di RS Pendidikan (Utama, Afiliasi &amp; Satelit) per tahun.
EWMP dosen per minggu adalah 36 jam atau 1152 jam per tahun.
</t>
  </si>
  <si>
    <t>Jumlah jam kegiatan pembelajaran yang direncanakan</t>
  </si>
  <si>
    <t>Jumlah jam kegiatan pembelajaran yang direncanakan yang dilaksanakan</t>
  </si>
  <si>
    <t>Persentase realisasi aktivitas dosen di RS Pendidikan (Utama, Afiliasi dan Satelit) dalam pendidikan terhadap jumlah aktivitas yang direncanakan</t>
  </si>
  <si>
    <r>
      <t>PA</t>
    </r>
    <r>
      <rPr>
        <vertAlign val="subscript"/>
        <sz val="10"/>
        <color theme="1"/>
        <rFont val="Arial"/>
        <family val="2"/>
      </rPr>
      <t>DT</t>
    </r>
  </si>
  <si>
    <t>Persentase realisasi aktivitas dosen di RS Pendidikan (Utama, Afiliasi dan Satelit) dalam pendidikan terhadap jumlah aktivitas yang direncanakan.</t>
  </si>
  <si>
    <t>Banyaknya tenaga ahli/pakar sebagai pembicara dalam seminar/pelatihan, pembicara tamu, dsb, dari luar PT sendiri (tidak termasuk dosendi RS Pendidikan Afiliasi dan Satelit)</t>
  </si>
  <si>
    <r>
      <t>J</t>
    </r>
    <r>
      <rPr>
        <vertAlign val="subscript"/>
        <sz val="10"/>
        <color theme="1"/>
        <rFont val="Arial"/>
        <family val="2"/>
      </rPr>
      <t>TA</t>
    </r>
  </si>
  <si>
    <t>Kegiatan tenaga ahli/pakar sebagai pembicara dalam seminar/pelatihan, pembicara tamu, dsb, dari luar PT sendiri (tidak termasuk dosendi RS Pendidikan Afiliasi dan Satelit).</t>
  </si>
  <si>
    <t>Jumlah dosen di RS Pendidikan (Utama, Afiliasi, dan Satelit)</t>
  </si>
  <si>
    <t>Jumlah dosen di RS Pendidikan (Utama, Afiliasi, dan Satelit) yang tugas belajar jenjang S-3/Sp.K pada bidang keahlian yang sesuai dengan PS</t>
  </si>
  <si>
    <t>Persentase dosen yang mengikuti tugas belajar jenjang S-3/Sp.K pada bidang keahlian yang sesuai dengan PS dalam kurun waktu tiga tahun terakhir</t>
  </si>
  <si>
    <r>
      <t>N</t>
    </r>
    <r>
      <rPr>
        <vertAlign val="subscript"/>
        <sz val="10"/>
        <color theme="1"/>
        <rFont val="Arial"/>
        <family val="2"/>
      </rPr>
      <t>3</t>
    </r>
  </si>
  <si>
    <t>Peningkatan kemampuan dosen di RS Pendidikan (Utama, Afiliasi dan Satelit) melalui program tugas belajar dalam bidang yang sesuai dengan bidang PS.</t>
  </si>
  <si>
    <r>
      <t>N</t>
    </r>
    <r>
      <rPr>
        <vertAlign val="subscript"/>
        <sz val="10"/>
        <color theme="1"/>
        <rFont val="Arial"/>
        <family val="2"/>
      </rPr>
      <t>E</t>
    </r>
  </si>
  <si>
    <r>
      <t>N</t>
    </r>
    <r>
      <rPr>
        <vertAlign val="subscript"/>
        <sz val="10"/>
        <color theme="1"/>
        <rFont val="Arial"/>
        <family val="2"/>
      </rPr>
      <t>F</t>
    </r>
  </si>
  <si>
    <t>Kegiatan dosen PS dalam pertemuan ilmiah.</t>
  </si>
  <si>
    <r>
      <t>N</t>
    </r>
    <r>
      <rPr>
        <vertAlign val="subscript"/>
        <sz val="10"/>
        <color theme="1"/>
        <rFont val="Arial"/>
        <family val="2"/>
      </rPr>
      <t>DT</t>
    </r>
  </si>
  <si>
    <t>Jumlah dosen PS (termasuk dosen di RS Pendidikan Utama, Afiliasi, dan Satelit)</t>
  </si>
  <si>
    <r>
      <t>SP = (4 N</t>
    </r>
    <r>
      <rPr>
        <vertAlign val="subscript"/>
        <sz val="10"/>
        <color theme="1"/>
        <rFont val="Arial"/>
        <family val="2"/>
      </rPr>
      <t>A</t>
    </r>
    <r>
      <rPr>
        <sz val="10"/>
        <color theme="1"/>
        <rFont val="Arial"/>
        <family val="2"/>
      </rPr>
      <t xml:space="preserve"> + 3 N</t>
    </r>
    <r>
      <rPr>
        <vertAlign val="subscript"/>
        <sz val="10"/>
        <color theme="1"/>
        <rFont val="Arial"/>
        <family val="2"/>
      </rPr>
      <t>B</t>
    </r>
    <r>
      <rPr>
        <sz val="10"/>
        <color theme="1"/>
        <rFont val="Arial"/>
        <family val="2"/>
      </rPr>
      <t xml:space="preserve"> + 4 N</t>
    </r>
    <r>
      <rPr>
        <vertAlign val="subscript"/>
        <sz val="10"/>
        <color theme="1"/>
        <rFont val="Arial"/>
        <family val="2"/>
      </rPr>
      <t>C</t>
    </r>
    <r>
      <rPr>
        <sz val="10"/>
        <color theme="1"/>
        <rFont val="Arial"/>
        <family val="2"/>
      </rPr>
      <t xml:space="preserve"> + 3 N</t>
    </r>
    <r>
      <rPr>
        <vertAlign val="subscript"/>
        <sz val="10"/>
        <color theme="1"/>
        <rFont val="Arial"/>
        <family val="2"/>
      </rPr>
      <t>D</t>
    </r>
    <r>
      <rPr>
        <sz val="10"/>
        <color theme="1"/>
        <rFont val="Arial"/>
        <family val="2"/>
      </rPr>
      <t xml:space="preserve"> + 2 N</t>
    </r>
    <r>
      <rPr>
        <vertAlign val="subscript"/>
        <sz val="10"/>
        <color theme="1"/>
        <rFont val="Arial"/>
        <family val="2"/>
      </rPr>
      <t>E</t>
    </r>
    <r>
      <rPr>
        <sz val="10"/>
        <color theme="1"/>
        <rFont val="Arial"/>
        <family val="2"/>
      </rPr>
      <t xml:space="preserve"> + N</t>
    </r>
    <r>
      <rPr>
        <vertAlign val="subscript"/>
        <sz val="10"/>
        <color theme="1"/>
        <rFont val="Arial"/>
        <family val="2"/>
      </rPr>
      <t>F</t>
    </r>
    <r>
      <rPr>
        <sz val="10"/>
        <color theme="1"/>
        <rFont val="Arial"/>
        <family val="2"/>
      </rPr>
      <t>)/N</t>
    </r>
    <r>
      <rPr>
        <vertAlign val="subscript"/>
        <sz val="10"/>
        <color theme="1"/>
        <rFont val="Arial"/>
        <family val="2"/>
      </rPr>
      <t>DT</t>
    </r>
  </si>
  <si>
    <t>Media publikasi karya ilmiah dosen PS.</t>
  </si>
  <si>
    <t>Majalah populer/surat kabar</t>
  </si>
  <si>
    <t>Dokumentasi pada perpustakaan lokal</t>
  </si>
  <si>
    <t>Jurnal nasional tidak terakreditasi</t>
  </si>
  <si>
    <t>Jurnal nasional terakreditasi</t>
  </si>
  <si>
    <t>Buku teks ISBN</t>
  </si>
  <si>
    <t>Jurnal internasional</t>
  </si>
  <si>
    <r>
      <t>PD</t>
    </r>
    <r>
      <rPr>
        <vertAlign val="subscript"/>
        <sz val="10"/>
        <color theme="1"/>
        <rFont val="Arial"/>
        <family val="2"/>
      </rPr>
      <t>NI</t>
    </r>
  </si>
  <si>
    <t>Keikutsertaan dosen dalam organisasi keilmuan atau organisasi profesi tingkat internasional.</t>
  </si>
  <si>
    <t>Jumlah dosen di RS Pendidikan (Utama, Afiliasi, dan Satelit) yang menjadi anggota organisasi keilmuan atau organisasi profesi tingkat  internasional</t>
  </si>
  <si>
    <t>Persentase dosen yang menjadi anggota organisasi keilmuan atau organisasi profesi tingkat internasional</t>
  </si>
  <si>
    <t xml:space="preserve">Kompetensi pendukung dan kompetensi lainnya dalam mendukung terwujudnya visi dan terlaksananya misi PS.
Catatan:
Deskripsi kompetensi lulusan sesuai dengan Standar Kompetensi Dokter Spesialis dan Dokter Gigi Spesialis sebagai dasar untuk penilaian proses dan ketercapaiannya.
</t>
  </si>
  <si>
    <t>Kompetensi pendukung dan kompetensi lainnya dari kurikulum PS: …</t>
  </si>
  <si>
    <t>Tidak ada kompetensi pendukung dan kompetensi lainnya dalam kurikulum.</t>
  </si>
  <si>
    <t>Kompetensi pendukung dan kompetensi lainnya mendukung terwujudnya visi dan terlaksananya misi.</t>
  </si>
  <si>
    <t xml:space="preserve">Struktur kurikulum.
Yang dinilai adalah urutan yang logis, proporsional, konsisten dari struktur kurikulum. Isi kurikulum meliputi prinsip-prinsip metode ilmiah, ilmu biomedik, ilmu kedokteran klinik, ilmu humaniora, ilmu kedokteran komunitas, dan ilmu kedokteran keluarga.
</t>
  </si>
  <si>
    <t>Susunan kurikulum kurang runtut, proporsional, konsisten, dan logis namun kurang   mendukung pencapaian kompetensi lulusan.</t>
  </si>
  <si>
    <t>Susunan kurikulum kurang runtut, proporsional, konsisten, dan logis tetapi  mendukung pencapaian kompetensi lulusan.</t>
  </si>
  <si>
    <t>Susunan kurikulum sudah runtut, proporsional, konsisten, dan logis serta mendukung pencapaian kompetensi lulusan.</t>
  </si>
  <si>
    <t>Susunan kurikulum sudah runtut, proporsional, konsisten, dan logis serta sangat mendukung pencapaian kompetensi lulusan.</t>
  </si>
  <si>
    <t>5.1.3.1.1</t>
  </si>
  <si>
    <t xml:space="preserve">Point untuk sikap terhadap staf pendidik &amp; kolega </t>
  </si>
  <si>
    <t xml:space="preserve">Point untuk sikap terhadap penderita </t>
  </si>
  <si>
    <t xml:space="preserve">Point untuk sikap terhadap paramedis dan  non paramedis </t>
  </si>
  <si>
    <t xml:space="preserve">Point untuk disiplin dan tanggung jawab </t>
  </si>
  <si>
    <t xml:space="preserve">Point untuk ketaatan pengisian dokumen medik </t>
  </si>
  <si>
    <t>Point untuk ketaatan pada tugas yang diberikan</t>
  </si>
  <si>
    <t xml:space="preserve">Point untuk ketaatan melaksanakan pedoman penggunaan obat dan alat orthopaedi </t>
  </si>
  <si>
    <t>Skor 3</t>
  </si>
  <si>
    <t>Skor 4</t>
  </si>
  <si>
    <t>Skor 5</t>
  </si>
  <si>
    <t>Skor 6</t>
  </si>
  <si>
    <t>Skor 7</t>
  </si>
  <si>
    <t>Skor etika = 
(Skor 1 + Skor 2 + Skor 3 + Skor 4 + Skor 5 + Skor 6 + Skor 7)/7.</t>
  </si>
  <si>
    <t>5.1.3.1.2</t>
  </si>
  <si>
    <t>Komunikasi.</t>
  </si>
  <si>
    <t xml:space="preserve">Point untuk komunikasi terhadap penderita </t>
  </si>
  <si>
    <t xml:space="preserve">Point untuk komunikasi terhadap staf pendidik &amp; kolega </t>
  </si>
  <si>
    <t xml:space="preserve">Point untuk komunikasi terhadap paramedis dan  non paramedis </t>
  </si>
  <si>
    <t>Skor komunikasi = (Skor 1 + Skor 2 + Skor 3)/3.</t>
  </si>
  <si>
    <t>5.1.3.1.3</t>
  </si>
  <si>
    <t>Kerjasama tim.</t>
  </si>
  <si>
    <t xml:space="preserve">Point untuk hubungan yang baik antara dokter, perawat dan karyawan kesehatan, dan pasien serta keluarga  pasien </t>
  </si>
  <si>
    <t xml:space="preserve">Point untuk bisa bekerjasama dalam bentuk tim secara harmonis untuk pelayanan optimal </t>
  </si>
  <si>
    <t>Skor komunikasi = (Skor 1 + Skor 2)/2.</t>
  </si>
  <si>
    <t>5.1.3.1.4</t>
  </si>
  <si>
    <r>
      <rPr>
        <i/>
        <sz val="10"/>
        <color rgb="FF000000"/>
        <rFont val="Arial"/>
        <family val="2"/>
      </rPr>
      <t>Patient safety</t>
    </r>
    <r>
      <rPr>
        <sz val="10"/>
        <color rgb="FF000000"/>
        <rFont val="Arial"/>
        <family val="2"/>
      </rPr>
      <t>.</t>
    </r>
  </si>
  <si>
    <t xml:space="preserve">Skor </t>
  </si>
  <si>
    <r>
      <t>Point untuk</t>
    </r>
    <r>
      <rPr>
        <i/>
        <sz val="10"/>
        <color theme="1"/>
        <rFont val="Arial"/>
        <family val="2"/>
      </rPr>
      <t xml:space="preserve"> patient safety</t>
    </r>
  </si>
  <si>
    <t>Skor 8</t>
  </si>
  <si>
    <t>Skor 9</t>
  </si>
  <si>
    <t>Skor 10</t>
  </si>
  <si>
    <t>5.1.3.2</t>
  </si>
  <si>
    <t>5.1.3.3</t>
  </si>
  <si>
    <t>Skor 11</t>
  </si>
  <si>
    <t>Skor pencapaian kompetensi dasar = (Skor 1 + Skor 2 + Skor 3 + Skor 4 + Skor 5 + Skor 6 + Skor 7 + Skor 8 + Skor 9 + Skor 10)/10.</t>
  </si>
  <si>
    <t>5.1.4</t>
  </si>
  <si>
    <r>
      <t xml:space="preserve">Kegiatan belajar meliputi seperti laporan jaga, presentasi kasus, </t>
    </r>
    <r>
      <rPr>
        <i/>
        <sz val="10"/>
        <color theme="1"/>
        <rFont val="Arial"/>
        <family val="2"/>
      </rPr>
      <t>ward rounds (visite), bedside teaching, skills lab,</t>
    </r>
    <r>
      <rPr>
        <sz val="10"/>
        <color theme="1"/>
        <rFont val="Arial"/>
        <family val="2"/>
      </rPr>
      <t xml:space="preserve"> bimbingan operasi/tindakan,</t>
    </r>
    <r>
      <rPr>
        <i/>
        <sz val="10"/>
        <color theme="1"/>
        <rFont val="Arial"/>
        <family val="2"/>
      </rPr>
      <t xml:space="preserve"> journal reading</t>
    </r>
    <r>
      <rPr>
        <sz val="10"/>
        <color theme="1"/>
        <rFont val="Arial"/>
        <family val="2"/>
      </rPr>
      <t>, kuliah tamu, telah kurang sesuai kurikulum.</t>
    </r>
  </si>
  <si>
    <r>
      <t xml:space="preserve">Kegiatan belajar meliputi seperti laporan jaga, presentasi kasus, </t>
    </r>
    <r>
      <rPr>
        <i/>
        <sz val="10"/>
        <color theme="1"/>
        <rFont val="Arial"/>
        <family val="2"/>
      </rPr>
      <t>ward rounds (visite), bedside teaching, skills lab</t>
    </r>
    <r>
      <rPr>
        <sz val="10"/>
        <color theme="1"/>
        <rFont val="Arial"/>
        <family val="2"/>
      </rPr>
      <t>, bimbingan operasi/tindakan,</t>
    </r>
    <r>
      <rPr>
        <i/>
        <sz val="10"/>
        <color theme="1"/>
        <rFont val="Arial"/>
        <family val="2"/>
      </rPr>
      <t xml:space="preserve"> journal reading</t>
    </r>
    <r>
      <rPr>
        <sz val="10"/>
        <color theme="1"/>
        <rFont val="Arial"/>
        <family val="2"/>
      </rPr>
      <t>, kuliah tamu, telah dilakukan dengan cukup sesuai kurikulum.</t>
    </r>
  </si>
  <si>
    <r>
      <t xml:space="preserve">Kegiatan belajar meliputi seperti laporan jaga, presentasi kasus, </t>
    </r>
    <r>
      <rPr>
        <i/>
        <sz val="10"/>
        <color theme="1"/>
        <rFont val="Arial"/>
        <family val="2"/>
      </rPr>
      <t>ward rounds (visite),bedside teaching, skills lab</t>
    </r>
    <r>
      <rPr>
        <sz val="10"/>
        <color theme="1"/>
        <rFont val="Arial"/>
        <family val="2"/>
      </rPr>
      <t xml:space="preserve">, bimbingan operasi/tindakan, </t>
    </r>
    <r>
      <rPr>
        <i/>
        <sz val="10"/>
        <color theme="1"/>
        <rFont val="Arial"/>
        <family val="2"/>
      </rPr>
      <t>journal reading</t>
    </r>
    <r>
      <rPr>
        <sz val="10"/>
        <color theme="1"/>
        <rFont val="Arial"/>
        <family val="2"/>
      </rPr>
      <t>, kuliah tamu, telah dilakukan dengan sangat baik sesuai kurikulum.</t>
    </r>
  </si>
  <si>
    <r>
      <t>P</t>
    </r>
    <r>
      <rPr>
        <vertAlign val="subscript"/>
        <sz val="10"/>
        <color theme="1"/>
        <rFont val="Arial"/>
        <family val="2"/>
      </rPr>
      <t>MK</t>
    </r>
  </si>
  <si>
    <t>Persentase banyaknya modul ditinjau tiga tahun terakhir</t>
  </si>
  <si>
    <r>
      <t>Jumlah semua modul/</t>
    </r>
    <r>
      <rPr>
        <i/>
        <sz val="10"/>
        <color theme="1"/>
        <rFont val="Arial"/>
        <family val="2"/>
      </rPr>
      <t>logbook</t>
    </r>
  </si>
  <si>
    <t>Jumlah semua modul/logbook yang ditinjau tiga tahun terakhir</t>
  </si>
  <si>
    <r>
      <t>P</t>
    </r>
    <r>
      <rPr>
        <vertAlign val="subscript"/>
        <sz val="10"/>
        <color theme="1"/>
        <rFont val="Arial"/>
        <family val="2"/>
      </rPr>
      <t>MO</t>
    </r>
  </si>
  <si>
    <t>Jumlah semua tindakan/operasi [(a)]</t>
  </si>
  <si>
    <t>Jumlah tindakan/operasi yang mengalami morbiditas atau mortalitas [(b) + (c)]</t>
  </si>
  <si>
    <t>Apa dalam 1 tahun terakhir seperti di borang.</t>
  </si>
  <si>
    <t>5.4.1</t>
  </si>
  <si>
    <t>Ketersediaan panduan pembimbingan karya tulis ilmiah, sosialisasi, dan konsistensi pelaksanaannya: …</t>
  </si>
  <si>
    <t>Ketersediaan panduan pembimbingan karya tulis ilmiah, sosialisasi, dan konsistensi pelaksanaannya.</t>
  </si>
  <si>
    <t>Ada pembimbingan tanpa panduan.</t>
  </si>
  <si>
    <t>Ada panduan tertulis yang sudah disosialisasikan serta dilaksanakan dengan konsisten.</t>
  </si>
  <si>
    <t>Kualifikasi akademik dosen pembimbing karya tulis ilmiah.</t>
  </si>
  <si>
    <t>Kualifikasi akademik dosen pembimbing karya tulis ilmiah: …</t>
  </si>
  <si>
    <t>5.4.2.1</t>
  </si>
  <si>
    <t>5.4.2.2</t>
  </si>
  <si>
    <r>
      <t>RM</t>
    </r>
    <r>
      <rPr>
        <vertAlign val="subscript"/>
        <sz val="10"/>
        <color theme="1"/>
        <rFont val="Arial"/>
        <family val="2"/>
      </rPr>
      <t>TA</t>
    </r>
  </si>
  <si>
    <t xml:space="preserve">Rata-rata peserta didik per dosen pembimbing karya tulis ilmiah </t>
  </si>
  <si>
    <t>Rata-rata peserta didik per dosen pembimbing karya tulis ilmiah.</t>
  </si>
  <si>
    <t>Jumlah dosen pembimbing karya tulis ilmiah</t>
  </si>
  <si>
    <t>Jumlah peserta didik yang mengerjakan karya tulis ilmiah</t>
  </si>
  <si>
    <t>5.5.1</t>
  </si>
  <si>
    <t xml:space="preserve">Sistem monitoring dan evaluasi (monev) kurikulum untuk menjamin terlaksananya program pendidikan sehingga mampu mencapai kompetensi yang diharapkan.
</t>
  </si>
  <si>
    <t>Sistem monitoring dan evaluasi (monev) kurikulum: …</t>
  </si>
  <si>
    <t>Tidak ada proses monev.</t>
  </si>
  <si>
    <t>Ada proses monev dan tindak lanjut, dan dokumen pendukung sebagian lengkap.</t>
  </si>
  <si>
    <t>Ada proses monev dan tindak lanjut disertai dokumen pendukung yang lengkap.</t>
  </si>
  <si>
    <t>5.5.2</t>
  </si>
  <si>
    <t>NB</t>
  </si>
  <si>
    <t>Rata-rata jumlah bimbingan operasi/tindakan per tahun</t>
  </si>
  <si>
    <t xml:space="preserve">Sistem supervisi pendidikan untuk menjamin terlaksananya program pendidikan sehingga mampu mencapai kompetensi yang diharapkan. 
</t>
  </si>
  <si>
    <t>5.5.3</t>
  </si>
  <si>
    <t xml:space="preserve">Sistem evaluasi peserta didik dan kriteria kelulusan untuk menilai kompetensi peserta didik.
Kompetensi peserta didik: 1. Kemampuan kognitif, 2. Keterampilan, dan 3. Perilaku.
• Kemampuan kognitif: ujian tertulis, presentasi kasus.
• Keterampilan: ujian operasi/tindakan
• Perilaku: presensi, morbiditas </t>
  </si>
  <si>
    <t>Sistem evaluasi peserta didik dan kriteria kelulusan: …</t>
  </si>
  <si>
    <t>Sistem evaluasi dan kriteria kelulusan tidak mampu menilai ketiga kompetensi peserta didik.</t>
  </si>
  <si>
    <t>Sistem evaluasi dan kriteria kelulusan telah mampu menilai satu dari tiga kompetensi peserta didik dengan baik.</t>
  </si>
  <si>
    <t>Sistem evaluasi dan kriteria kelulusan telah mampu menilai dua dari tiga kompetensi peserta didik dengan baik.</t>
  </si>
  <si>
    <t>Sistem evaluasi dan kriteria kelulusan telah mampu menilai ketiga kompetensi peserta didik dengan baik.</t>
  </si>
  <si>
    <t>Kebijakan tentang suasana akademik: …</t>
  </si>
  <si>
    <t>Tidak ada dokumen tentang suasana akademik.</t>
  </si>
  <si>
    <t>Ada dokumen yang lengkap tentang suasana akademik, dan dilaksanakan dengan konsisten.</t>
  </si>
  <si>
    <t>Tersedia cukup lengkap, milik sendiri atau sewa, dan dana yang cukup memadai.</t>
  </si>
  <si>
    <t>Tersedia, milik sendiri, lengkap dan dukungan dana memadai.</t>
  </si>
  <si>
    <t>Tersedia, milik sendiri, sangat lengkap dan dukungan dana sangat memadai.</t>
  </si>
  <si>
    <t>Program dan kegiatan akademik untuk menciptakan suasana akademik (seminar, simposium, lokakarya, bedah buku, penelitian bersama dll).</t>
  </si>
  <si>
    <t>Kurang dalam upaya dan hasilnya.</t>
  </si>
  <si>
    <t>Cukup dalam upaya dan hasilnya.</t>
  </si>
  <si>
    <t>Upaya baik, namun hasilnya baru cukup.</t>
  </si>
  <si>
    <t>Upaya baik dan hasilnya suasana kondusif untuk meningkatkan suasana akademik yang baik.</t>
  </si>
  <si>
    <t>5.6.4</t>
  </si>
  <si>
    <t>Ada panduan yang lengkap tentang ketiga aspek, dan dilaksanakan dengan konsisten.</t>
  </si>
  <si>
    <t>Ada proses monev dan tindak lanjut, dan dokumen pendukung sebagian besar lengkap.</t>
  </si>
  <si>
    <t>Keterlibatan program studi dalam pengelolaan dana: …</t>
  </si>
  <si>
    <t xml:space="preserve">Keterlibatan program studi dalam perencanaan target kinerja, perencanaan kegiatan kerja dan perencanaan alokasi dan pengelolaan dana.
Keterlibatan aktif program studi harus tercerminkan dengan bukti tertulis tentang proses perencanaan, pengelolaan dan pelaporan serta pertanggungjawaban penggunaan dana kepada pemangku kepentingan melalui mekanisme yang transparan dan akuntabel.
</t>
  </si>
  <si>
    <t>Program studi tidak dilibatkan dalam perencanaan anggaran (perencanaan alokasi dan pembelanjaan dana).</t>
  </si>
  <si>
    <t>Program studi hanya diminta memberikan masukan tentang perencanaan anggaran (perencanaan alokasi dan pembelanjaan dana).</t>
  </si>
  <si>
    <t>Program studi secara otonom melaksanakan perencanaan anggaran (perencanaan alokasi dan pembelanjaan dana).
Anggaran yang diajukan tidak diterima seutuhnya.</t>
  </si>
  <si>
    <t>Program studi secara otonom melaksanakan perencanaan anggaran (perencanaan alokasi dan pembelanjaan dana).
Anggaran yang diajukan diterima seutuhnya.</t>
  </si>
  <si>
    <t>Penggunaan dana untuk operasional (pendidikan, penelitian, pengabdian kepada masyarakat)/ mahasiswa /tahun.</t>
  </si>
  <si>
    <t>Rata-rata dana operasional per mahasiswa per tahun (juta rupiah)</t>
  </si>
  <si>
    <t>Jumlah dosen tetap di RS Pendidikan (Utama, Afiliasi dan Satelit)</t>
  </si>
  <si>
    <r>
      <t>D</t>
    </r>
    <r>
      <rPr>
        <vertAlign val="subscript"/>
        <sz val="10"/>
        <color theme="1"/>
        <rFont val="Arial"/>
        <family val="2"/>
      </rPr>
      <t>PNL</t>
    </r>
  </si>
  <si>
    <t>Rata-rata dana penelitian per dosen di RS Pendidikan (Utama, Afiliasi dan Satelit) per tahun</t>
  </si>
  <si>
    <t>6.1.2.3</t>
  </si>
  <si>
    <t>6.1.2.4</t>
  </si>
  <si>
    <r>
      <t>D</t>
    </r>
    <r>
      <rPr>
        <vertAlign val="subscript"/>
        <sz val="10"/>
        <color theme="1"/>
        <rFont val="Arial"/>
        <family val="2"/>
      </rPr>
      <t>PKM</t>
    </r>
  </si>
  <si>
    <t>Rata-rata dana pengabdian kepada masyarakat per dosen di RS Pendidikan (Utama, Afiliasi dan Satelit) per tahun</t>
  </si>
  <si>
    <t>Penggunaan dana pengabdian kepada masyarakat dalam tiga tahun terakhir.</t>
  </si>
  <si>
    <t>6.2.1.1</t>
  </si>
  <si>
    <t>Tidak tersedia ruang PPDS.</t>
  </si>
  <si>
    <t>Tidak ada skor 1.</t>
  </si>
  <si>
    <t>Tersedia tempat kerja (ruang khusus atau di laboratorium) di mana tersedia meja bersama tanpa fasilitas internet.</t>
  </si>
  <si>
    <t>Tidak ada skor 3.</t>
  </si>
  <si>
    <t>Tersedia tempat kerja (ruang khusus atau di laboratorium) di mana tersedia meja bersama dengan akses internet.</t>
  </si>
  <si>
    <t xml:space="preserve">Ruang yang tersedia untuk proses pendidikan.
</t>
  </si>
  <si>
    <t>Ruang yang tersedia untuk proses pendidikan: …</t>
  </si>
  <si>
    <t>6.2.1.2</t>
  </si>
  <si>
    <t xml:space="preserve">Fasilitas komputer dan akses ke jaringan internet di perpustakaan.
</t>
  </si>
  <si>
    <t>Fasilitas komputer dan akses ke jaringan internet di perpustakaan: …</t>
  </si>
  <si>
    <t>Pengelolaan perpustakaan dilakukan secara manual.</t>
  </si>
  <si>
    <r>
      <t xml:space="preserve">Fasilitas komputer memadai, namun belum memiliki </t>
    </r>
    <r>
      <rPr>
        <i/>
        <sz val="10"/>
        <color theme="1"/>
        <rFont val="Arial"/>
        <family val="2"/>
      </rPr>
      <t>e-library</t>
    </r>
    <r>
      <rPr>
        <sz val="10"/>
        <color theme="1"/>
        <rFont val="Arial"/>
        <family val="2"/>
      </rPr>
      <t>.</t>
    </r>
  </si>
  <si>
    <r>
      <t>Fasilitas komputer memadai, memiliki</t>
    </r>
    <r>
      <rPr>
        <i/>
        <sz val="10"/>
        <color theme="1"/>
        <rFont val="Arial"/>
        <family val="2"/>
      </rPr>
      <t xml:space="preserve"> e-library</t>
    </r>
    <r>
      <rPr>
        <sz val="10"/>
        <color theme="1"/>
        <rFont val="Arial"/>
        <family val="2"/>
      </rPr>
      <t>.</t>
    </r>
  </si>
  <si>
    <t>6.2.1.3</t>
  </si>
  <si>
    <t>JBT</t>
  </si>
  <si>
    <t xml:space="preserve">Buku teks.
</t>
  </si>
  <si>
    <t xml:space="preserve">Jumlah judul buku teks yang relevan </t>
  </si>
  <si>
    <t>6.2.1.4</t>
  </si>
  <si>
    <t>JMPI</t>
  </si>
  <si>
    <t>Jumlah judul majalah profesi internasional</t>
  </si>
  <si>
    <t>Majalah profesi internasional.</t>
  </si>
  <si>
    <t>6.2.1.5</t>
  </si>
  <si>
    <t>JMPN</t>
  </si>
  <si>
    <t>Jumlah judul majalah profesi nasional</t>
  </si>
  <si>
    <t>Majalah profesi nasional.</t>
  </si>
  <si>
    <t>6.2.1.6</t>
  </si>
  <si>
    <t>JVIM</t>
  </si>
  <si>
    <t>Video/interactive materials.</t>
  </si>
  <si>
    <r>
      <t xml:space="preserve">Jumlah judul </t>
    </r>
    <r>
      <rPr>
        <i/>
        <sz val="10"/>
        <color theme="1"/>
        <rFont val="Arial"/>
        <family val="2"/>
      </rPr>
      <t>video/interactive materials</t>
    </r>
  </si>
  <si>
    <t>6.2.2.1</t>
  </si>
  <si>
    <t>6.2.2.2</t>
  </si>
  <si>
    <t xml:space="preserve">Kelengkapan dan mutu sarana pada Unit Rawat Inap.
</t>
  </si>
  <si>
    <t>Kelengkapan dan mutu sarana pada Unit Rawat Inap: …</t>
  </si>
  <si>
    <t>Kelengkapan dan mutu sarana pada Unit Rawat Jalan: …</t>
  </si>
  <si>
    <t>6.2.2.3</t>
  </si>
  <si>
    <t xml:space="preserve">Kelengkapan dan mutu sarana pada kamar bedah.
Kelengkapan kamar bedah:
1. Alat endoskopi dasar 
2. C-ARM
3. Meja 
</t>
  </si>
  <si>
    <t>Kelengkapan dan mutu sarana pada kamar bedah: …</t>
  </si>
  <si>
    <t>6.2.2.4</t>
  </si>
  <si>
    <t xml:space="preserve">Prasarana pendidikan pelengkap RS Pendidikan Afiliasi dan Satelit.
</t>
  </si>
  <si>
    <t>Prasarana pendidikan pelengkap RS Pendidikan Afiliasi dan Satelit.: …</t>
  </si>
  <si>
    <r>
      <t>Sistem informasi dan fasilitas yang digunakan PS dalam proses pembelajaran (</t>
    </r>
    <r>
      <rPr>
        <i/>
        <sz val="10"/>
        <color theme="1"/>
        <rFont val="Arial"/>
        <family val="2"/>
      </rPr>
      <t>hardware, software, e-learning</t>
    </r>
    <r>
      <rPr>
        <sz val="10"/>
        <color theme="1"/>
        <rFont val="Arial"/>
        <family val="2"/>
      </rPr>
      <t xml:space="preserve">)
</t>
    </r>
  </si>
  <si>
    <t>Sistem informasi dan fasilitas yang digunakan PS dalam proses pembelajaran: …</t>
  </si>
  <si>
    <t>Proses pembelajaran dilakukan secara konvensional.</t>
  </si>
  <si>
    <t>Proses pembelajaran sebagian menggunakan komputer, namun tidak terhubung dengan jaringan luas/internet.</t>
  </si>
  <si>
    <r>
      <t xml:space="preserve">Proses pembelajaran sebagian menggunakan komputer, namun tidak terhubung dengan jaringan luas/internet.
</t>
    </r>
    <r>
      <rPr>
        <i/>
        <sz val="10"/>
        <color theme="1"/>
        <rFont val="Arial"/>
        <family val="2"/>
      </rPr>
      <t>Software</t>
    </r>
    <r>
      <rPr>
        <sz val="10"/>
        <color theme="1"/>
        <rFont val="Arial"/>
        <family val="2"/>
      </rPr>
      <t xml:space="preserve"> yang digunakan di laboratorium jumlah dan jenisnya memadai. </t>
    </r>
  </si>
  <si>
    <r>
      <t xml:space="preserve">Proses pembelajaran menggunakan komputer yang terhubung dengan jaringan luas/internet. </t>
    </r>
    <r>
      <rPr>
        <i/>
        <sz val="10"/>
        <color theme="1"/>
        <rFont val="Arial"/>
        <family val="2"/>
      </rPr>
      <t xml:space="preserve">Software </t>
    </r>
    <r>
      <rPr>
        <sz val="10"/>
        <color theme="1"/>
        <rFont val="Arial"/>
        <family val="2"/>
      </rPr>
      <t xml:space="preserve">yang digunakan di laboratorium jenis dan jumlahnya memadai. </t>
    </r>
  </si>
  <si>
    <t>Jumlah dosen tetap di RS Pendidikan</t>
  </si>
  <si>
    <t>PDSA</t>
  </si>
  <si>
    <t>Persentase dosen yang memiliki agenda penelitian sesuai dengan bidang studi dan semua penelitian sesuai dengan agenda.</t>
  </si>
  <si>
    <t>Jumlah dosen tetap di RS Pendidikan yang memiliki agenda penelitian sesuai dengan bidang studi dan semua penelitian sesuai dengan agenda</t>
  </si>
  <si>
    <t>Keberadaan dan kesesuaian agenda penelitian dosen dengan bidang studi.</t>
  </si>
  <si>
    <t>Artikel ilmiah/karya ilmiah/buku yang dihasilkan selama tiga tahun terakhir oleh dosen di RS Pendidikan (Utama, Afiliasi dan Satelit) PS.</t>
  </si>
  <si>
    <t>Jumlah keterlibatan dosen di RS Pendidikan (Utama, Afiliasi dan Satelit) dalam publikasi tingkat internasional</t>
  </si>
  <si>
    <t>Jumlah keterlibatan dosen di RS Pendidikan (Utama, Afiliasi dan Satelit) dalam publikasi tingkat nasional</t>
  </si>
  <si>
    <t>Jumlah keterlibatan dosen di RS Pendidikan (Utama, Afiliasi dan Satelit) dalam publikasi tingkat lokal/universitas</t>
  </si>
  <si>
    <t>Banyaknya dosen di RS Pendidikan</t>
  </si>
  <si>
    <t xml:space="preserve">Persentase  peserta didik yang karya ilmiahnya adalah bagian dari penelitian dosen </t>
  </si>
  <si>
    <r>
      <t>P</t>
    </r>
    <r>
      <rPr>
        <vertAlign val="subscript"/>
        <sz val="10"/>
        <color theme="1"/>
        <rFont val="Arial"/>
        <family val="2"/>
      </rPr>
      <t>DM</t>
    </r>
  </si>
  <si>
    <t>A</t>
  </si>
  <si>
    <t>Jumlah peserta didik yang mengambil karya ilmiah pada TS.</t>
  </si>
  <si>
    <t>A+B</t>
  </si>
  <si>
    <t>Jumlah peserta didik yang terlibat dalam penelitian dosen pada  tahun terakhir (TS)</t>
  </si>
  <si>
    <t xml:space="preserve">Karya dosen atau peserta didik program studi yang telah memperoleh Paten/Hak atas Kekayaan Intelektual (HaKI) atau karya yang mendapat pengakuan/penghargaan dari lembaga nasional/ internasional selama tiga tahun terakhir.
</t>
  </si>
  <si>
    <t>Karya yang telah memperoleh Paten/HaKI atau karya yang mendapat pengakuan/penghargaan: …</t>
  </si>
  <si>
    <t>Tidak ada karya dosen di RS Pendidikan (Utama, Afiliasi dan Satelit) yang memperoleh hak paten atau surat pengakuan/ penghargaan dari lembaga nasional/ internasional.</t>
  </si>
  <si>
    <t>Dua atau lebih karya yang memperoleh hak paten atau surat pengakuan/penghargaan dari lembaga nasional/internasional.</t>
  </si>
  <si>
    <t>Satu yang memperoleh hak paten atau surat pengakuan/ penghargaan dari lembaga nasional/internasional.</t>
  </si>
  <si>
    <t>Jumlah keterlibatan dosen dalam kegiatan pengabdian kepada masyarakat.</t>
  </si>
  <si>
    <t>NK</t>
  </si>
  <si>
    <t>Kegiatanpengabdian kepada masyarakat (PkM) yang sesuai dengan bidang keilmuan PS selama tiga tahun terakhir yang dilakukan oleh dosen di RS Pendidikan (Utama, Afiliasi dan Satelit) PS.</t>
  </si>
  <si>
    <t>Rasio keterlibatan dosen di RS Pendidikan (Utama, Afiliasi, dan Satelit) dalam kegiatan pengabdian kepada masyarakat.</t>
  </si>
  <si>
    <t>Jumlah dan relevansi kerjasama dengan instansi di dalam negeri dalam tiga tahun terakhir.
Catatan:
Tingkat kecukupan bergantung pada jumlah dosen di RS Pendidikan (Utama, Afiliasi dan Satelit) PS.</t>
  </si>
  <si>
    <t>Jumlah dan relevansi kerjasama dengan instansi di dalam negeri: …</t>
  </si>
  <si>
    <t>Belum ada atau tidak ada rencana kerjasama.</t>
  </si>
  <si>
    <t>Sangat sedikit kerjasama dengan lembaga di dalam negeri.</t>
  </si>
  <si>
    <t xml:space="preserve">Ada kerjasama dengan institusi akademik atau profesional di dalam negeri, kurang dalam jumlah. Sebagian besar relevan dengan bidang keahlian PS. </t>
  </si>
  <si>
    <t>Ada kerjasama dengan institusi akademik atau profesional di dalam negeri, cukup dalam jumlah. Sebagian besar relevan dengan bidang keahlian PS.</t>
  </si>
  <si>
    <t>Ada kerjasama dengan institusi akademik atau profesional di dalam negeri, cukup dalam jumlah.  Semuanya  relevan dengan bidang keahlian PS.</t>
  </si>
  <si>
    <t xml:space="preserve">Jumlah dan relevansi kerjasama dengan instansi di luar negeri dalam tiga tahun terakhir.
Catatan:
Tingkat kecukupan bergantung pada jumlah dosen di RS Pendidikan (Utama, Afiliasi dan Satelit) PS.
</t>
  </si>
  <si>
    <t>Jumlah dan relevansi kerjasama dengan instansi di luar negeri: …</t>
  </si>
  <si>
    <t>Sangat sedikit kerjasama dengan lembaga di luar negeri.</t>
  </si>
  <si>
    <t>Ada kerjasama dengan institusi akademik atau profesional di luar negeri, kurang dalam jumlah. Sebagian besar relevan dengan bidang keahlian PS.</t>
  </si>
  <si>
    <t>Ada kerjasama dengan institusi akademik atau profesional di luar negeri, cukup dalam jumlah.  Sebagian besar relevan dengan bidang keahlian PS.</t>
  </si>
  <si>
    <t>Ada kerjasama dengan institusi akademik atau profesional di luar negeri, cukup dalam jumlah.  Semuanya  relevan dengan bidang keahlian PS.</t>
  </si>
  <si>
    <t>5.1.3.1</t>
  </si>
  <si>
    <t>5.1.3.3.1</t>
  </si>
  <si>
    <t>5.1.3.3.2</t>
  </si>
  <si>
    <t>4.3.1.3</t>
  </si>
  <si>
    <r>
      <t>KD</t>
    </r>
    <r>
      <rPr>
        <vertAlign val="subscript"/>
        <sz val="10"/>
        <color theme="1"/>
        <rFont val="Arial"/>
        <family val="2"/>
      </rPr>
      <t>3</t>
    </r>
  </si>
  <si>
    <t>Persentase dosen yang memiliki sertifikasi pendidik</t>
  </si>
  <si>
    <t>Dosen yang memiliki Sertifikat Pendidik (AA/Pekerti/ Akta V/Certicate in Medical Education/Sertifikat Dosen).</t>
  </si>
  <si>
    <r>
      <t>Dosen yang memiliki sertifikat pendidik (AA/Pekerti/Akta V/</t>
    </r>
    <r>
      <rPr>
        <i/>
        <sz val="10"/>
        <color theme="1"/>
        <rFont val="Arial"/>
        <family val="2"/>
      </rPr>
      <t>Certicate in Medical Education</t>
    </r>
    <r>
      <rPr>
        <sz val="10"/>
        <color theme="1"/>
        <rFont val="Arial"/>
        <family val="2"/>
      </rPr>
      <t>/Sertifikat Dosen).</t>
    </r>
  </si>
  <si>
    <t>Jumlah dosen di RS Pendidikan (Utama, Afiliasi, dan Satelit) yang memiliki sertifikat pendidik</t>
  </si>
  <si>
    <t>Tingkat pemahaman sivitas akademika (dosen dan peserta didik) dan tenaga kependidikan terhadap visi, misi, tujuan, dan sasaran program studi.</t>
  </si>
  <si>
    <t>Tata pamong menjamin terwujudnya visi, terlaksanakannya misi, tercapainya tujuan, berhasilnya strategi yang digunakan secara kredibel, transparan, akuntabel, bertanggung jawab, dan adil, yang didukung dokumen, data dan informasi yang sahih dan andal.</t>
  </si>
  <si>
    <t>Tingkat pendidikan KPS.</t>
  </si>
  <si>
    <t>Publikasi jurnal KPS.</t>
  </si>
  <si>
    <t>Karakteristik kepemimpinan program studi yang efektif dalam hal: (1) kepemimpinan operasional, (2) kepemimpinan organisasi, dan (3) kepemimpinan publik.</t>
  </si>
  <si>
    <t>Upaya-upaya yang telah dilakukan penyelenggara program studi untuk menjamin keberlanjutan (sustainability) program studi.</t>
  </si>
  <si>
    <t xml:space="preserve">Sistem rekrutmen calon mahasiswa baru.  Ketersediaan dokumen  penerimaan  peserta pendidikan baru dan konsistensi pelaksanaannya. </t>
  </si>
  <si>
    <t xml:space="preserve">Rasio calon peserta didik yang ikut seleksi : lulus seleksi. </t>
  </si>
  <si>
    <t>Rasio peserta didik baru : total peserta didik.</t>
  </si>
  <si>
    <t xml:space="preserve">Indeks Prestasi Kumulatif (IPK) lulusan selama tiga tahun terakhir. </t>
  </si>
  <si>
    <t>Persentase kelulusan dokter spesialis tepat waktu.</t>
  </si>
  <si>
    <t>Ujian nasional dalam tiga tahun terakhir. Persentase kelulusan first-taker.</t>
  </si>
  <si>
    <t>Layanan program studi kepada peserta didik untuk membina dan mengembang-kan penalaran, minat, bakat, seni, dan kesejahteraan.</t>
  </si>
  <si>
    <t xml:space="preserve">Keberadaan pedoman tertulis tentang sistem seleksi/perekrutan, penempatan, pengembangan, retensi, dan pemberhentian dosen dan tenaga kependidikan, serta konsistensi  pelaksanaannya. </t>
  </si>
  <si>
    <t>Pedoman tertulis tentang sistem monitoring dan evaluasi, serta rekam jejak kinerja dosen dan tenaga kependidikan serta konsistensi pelaksanaannya.</t>
  </si>
  <si>
    <t xml:space="preserve">Persentase dosen di RS Pendidikan (Utama, Afiliasi dan Satelit) berpendidikan Sp.K  yang bidang keahliannya sesuai dengan kompetensi PS. </t>
  </si>
  <si>
    <t>Dosen di RS Pendidikan (Utama, Afiliasi dan Satelit) yang memiliki jabatan akademik yang bidang keahliannya sesuai dengan kompetensi PS.</t>
  </si>
  <si>
    <t>Rasio peserta didik terhadap dosen yang bidang keahliannya sesuai dengan bidang PS.</t>
  </si>
  <si>
    <t>Dosen di RS Pendidikan (Utama, Afiliasi dan Satelit) berdasarkan jenjang pendidikan profesi, masa kerja, dan fellowship.</t>
  </si>
  <si>
    <t xml:space="preserve">4.3.3 </t>
  </si>
  <si>
    <t>Kegiatan dosen tetap PS dalam pertemuan ilmiah.</t>
  </si>
  <si>
    <t>Media publikasi karya ilmiah dosen tetap PS.</t>
  </si>
  <si>
    <t>Persentase dosen tetap yang menjadi anggota organisasi keilmuan atau organisasi profesi tingkat internasional.</t>
  </si>
  <si>
    <t>Kompetensi pendukung dan kompetensi lainnya dalam mendukung terwujudnya visi dan terlaksananya misi PS.</t>
  </si>
  <si>
    <t>Persentase banyaknya modul ditinjau tiga tahun terakhir.</t>
  </si>
  <si>
    <t>Persentase morbiditas dan mortalitas dalam empat bulan terakhir.</t>
  </si>
  <si>
    <t xml:space="preserve">Sistem monitoring dan evaluasi (monev) kurikulum untuk menjamin terlaksananya program pendidikan sehingga mampu mencapai kompetensi yang diharapkan. 
</t>
  </si>
  <si>
    <t xml:space="preserve">Sistem supervisi pendidikan untuk menjamin terlaksananya program pendidikan sehingga mampu mencapai kompetensi yang diharapkan. 
Rata-rata jumlah bimbingan operasi/tindakan per tahun.
</t>
  </si>
  <si>
    <t xml:space="preserve">Sistem evaluasi peserta didik dan kriteria kelulusan untuk menilai kompetensi peserta didik (kemampuan kognitif, keterampilan, dan perilaku).
</t>
  </si>
  <si>
    <t>Persentase perolehan dana dari peserta didik dibandingkan dengan total penerimaan dana.</t>
  </si>
  <si>
    <t>Penggunaan dana untuk operasional (pendidikan, penelitian, dan pengabdian kepada masyarakat).</t>
  </si>
  <si>
    <t>Rata-rata dana penelitian per dosen di RS Pendidikan (Utama, Afiliasi dan Satelit) per tahun (dalam juta rupiah).</t>
  </si>
  <si>
    <t>Rata-rata dana pengabdian kepada masyarakat per dosen di RS Pendidikan (Utama, Afiliasi dan Satelit) per tahun (dalam juta rupiah).</t>
  </si>
  <si>
    <t>Ruang yang tersedia untuk proses pendidikan.</t>
  </si>
  <si>
    <t>Fasilitas komputer dan akses ke jaringan internet di perpustakaan.</t>
  </si>
  <si>
    <t>Jumlah buku teks yang relevan.</t>
  </si>
  <si>
    <t>Jumlah judul majalah profesi internasional.</t>
  </si>
  <si>
    <t>Jumlah judul majalah profesi nasional.</t>
  </si>
  <si>
    <t>Kelengkapan dan mutu sarana pada Unit Rawat Inap.</t>
  </si>
  <si>
    <t xml:space="preserve">Kelengkapan dan mutu sarana pada Unit Rawat Jalan. </t>
  </si>
  <si>
    <t>Kelengkapan dan mutu sarana pada kamar bedah.</t>
  </si>
  <si>
    <t>Prasarana pendidikan pelengkap RS Pendidikan Afiliasi dan Satelit.</t>
  </si>
  <si>
    <t>Sistem informasi dan fasilitas yang digunakan PS dalam proses pembelajaran (hardware, software, e-learning).</t>
  </si>
  <si>
    <t>Persentase  peserta didik yang karya ilmiahnya adalah bagian dari penelitian dosen.</t>
  </si>
  <si>
    <t>Karya dosen atau peserta didik program studi yang telah memperoleh Paten/Hak atas Kekayaan Intelektual (HaKI) atau karya yang mendapat pengakuan/penghargaan dari lembaga nasional/internasional selama tiga tahun terakhir.</t>
  </si>
  <si>
    <t>Kegiatan pengabdian kepada masyarakat (PkM) yang sesuai dengan bidang keilmuan PS selama tiga tahun terakhir yang dilakukan oleh dosen di RS Pendidikan (Utama, Afiliasi dan Satelit) PS.</t>
  </si>
  <si>
    <t xml:space="preserve">Bobot </t>
  </si>
  <si>
    <t xml:space="preserve">Nilai x Bobot </t>
  </si>
  <si>
    <t>Jumlah judul video/ interactive materials.</t>
  </si>
  <si>
    <t>Kompetensi umum:…</t>
  </si>
  <si>
    <t>INFORMASI DARI 
BORANG PROGRAM STUDI</t>
  </si>
  <si>
    <t>Nilai x Bobot (Tidak Dicetak)</t>
  </si>
  <si>
    <r>
      <t xml:space="preserve">Kejelasan dan kerealistikan </t>
    </r>
    <r>
      <rPr>
        <sz val="10"/>
        <color indexed="8"/>
        <rFont val="Arial"/>
        <family val="2"/>
      </rPr>
      <t>visi, misi, tujuan, dan sasaran Fakultas/Sekolah Tinggi.</t>
    </r>
  </si>
  <si>
    <r>
      <t xml:space="preserve">Rata-rata masa studi lulusan dan rata-rata persentase IPK </t>
    </r>
    <r>
      <rPr>
        <sz val="10"/>
        <color theme="1"/>
        <rFont val="Calibri"/>
        <family val="2"/>
      </rPr>
      <t>≥</t>
    </r>
    <r>
      <rPr>
        <sz val="10"/>
        <color theme="1"/>
        <rFont val="Arial"/>
        <family val="2"/>
      </rPr>
      <t xml:space="preserve"> 3.0</t>
    </r>
  </si>
  <si>
    <r>
      <t xml:space="preserve">Bentuk dukungan Fakultas dalam </t>
    </r>
    <r>
      <rPr>
        <sz val="10"/>
        <color indexed="8"/>
        <rFont val="Arial"/>
        <family val="2"/>
      </rPr>
      <t>penyusunan, implementasi, dan pengembangan kurikulum antara lain dalam bentuk penyediaan fasilitas, pengorganisasian kegiatan, serta bantuan pendanaan.</t>
    </r>
  </si>
  <si>
    <r>
      <t>Mutu, kecukupan, akses p</t>
    </r>
    <r>
      <rPr>
        <sz val="10"/>
        <color indexed="8"/>
        <rFont val="Arial"/>
        <family val="2"/>
      </rPr>
      <t>rasarana yang dikelola Fakultas untuk PS.</t>
    </r>
  </si>
  <si>
    <r>
      <t>Sistem informasi</t>
    </r>
    <r>
      <rPr>
        <sz val="10"/>
        <color indexed="8"/>
        <rFont val="Arial"/>
        <family val="2"/>
      </rPr>
      <t xml:space="preserve"> dan fasilitas yang digunakan Fakultas/Sekolah Tinggi dalam proses pembelajaran (</t>
    </r>
    <r>
      <rPr>
        <i/>
        <sz val="10"/>
        <color indexed="8"/>
        <rFont val="Arial"/>
        <family val="2"/>
      </rPr>
      <t>hardware</t>
    </r>
    <r>
      <rPr>
        <sz val="10"/>
        <color indexed="8"/>
        <rFont val="Arial"/>
        <family val="2"/>
      </rPr>
      <t xml:space="preserve">, </t>
    </r>
    <r>
      <rPr>
        <i/>
        <sz val="10"/>
        <color indexed="8"/>
        <rFont val="Arial"/>
        <family val="2"/>
      </rPr>
      <t>software</t>
    </r>
    <r>
      <rPr>
        <sz val="10"/>
        <color indexed="8"/>
        <rFont val="Arial"/>
        <family val="2"/>
      </rPr>
      <t xml:space="preserve">, </t>
    </r>
    <r>
      <rPr>
        <i/>
        <sz val="10"/>
        <color indexed="8"/>
        <rFont val="Arial"/>
        <family val="2"/>
      </rPr>
      <t>e-learning,</t>
    </r>
    <r>
      <rPr>
        <sz val="10"/>
        <color indexed="8"/>
        <rFont val="Arial"/>
        <family val="2"/>
      </rPr>
      <t xml:space="preserve"> perpustakaan, dll.)</t>
    </r>
  </si>
  <si>
    <r>
      <t>Sistem informasi</t>
    </r>
    <r>
      <rPr>
        <sz val="10"/>
        <color indexed="8"/>
        <rFont val="Arial"/>
        <family val="2"/>
      </rPr>
      <t xml:space="preserve"> dan fasilitas yang digunakan Fakultas dalam administrasi (akademik, keuangan, personil, dll.).</t>
    </r>
  </si>
  <si>
    <t>INFORMASI DARI 
BORANG UNIT PENGELOLA PROGRAM STUDI</t>
  </si>
  <si>
    <t>Memiliki visi, misi, tujuan, dan sasaran yang kurang jelas dan tidak realistik.</t>
  </si>
  <si>
    <t>Memiliki visi, misi, tujuan, dan sasaran yang cukup jelas namun kurang realistik.</t>
  </si>
  <si>
    <t>Memiliki visi, misi, tujuan, dan sasaran jelas dan  realistik.</t>
  </si>
  <si>
    <t>Memiliki visi, misi, tujuan, dan sasaran yang sangat jelas dan sangat realistik.</t>
  </si>
  <si>
    <t>Strategi pencapaian sasaran:
(1) dengan tahapan waktu yang jelas, dan cukup realistik
(2) didukung dokumen yang cukup lengkap.</t>
  </si>
  <si>
    <t>Strategi pencapaian sasaran: 
(1) tanpa adanya tahapan waktu yang jelas, 
(2) didukung dokumen yang kurang lengkap.</t>
  </si>
  <si>
    <t>Strategi pencapaian sasaran:
(1) dengan tahapan waktu yang jelas, dan realistik 
(2) didukung dokumen yang  lengkap.</t>
  </si>
  <si>
    <t xml:space="preserve">Strategi pencapaian sasaran:
(1)  dengan tahapan waktu yang jelas dan sangat realistik
(2) didukung dokumen yang sangat lengkap. </t>
  </si>
  <si>
    <t>Kurang dipahami oleh  sivitas akademika  dan tenaga kependidikan.</t>
  </si>
  <si>
    <t>Struktur organisasi kurang mampu menggerakkan fungsi lembaga.</t>
  </si>
  <si>
    <t>Struktur organisasi mampu menggerakkan fungsi lembaga secara cukup efisien (misalnya struktur ”terlalu gemuk”).</t>
  </si>
  <si>
    <t>Struktur organisasi mampu menggerakkan fungsi lembaga secara efisien.</t>
  </si>
  <si>
    <t>Struktur organisasi mampu menggerakkan fungsi lembaga secara sangat efisien.</t>
  </si>
  <si>
    <t>Efektivitas sosialisasi visi, misi PS. Tingkat pemahaman sivitas akademika dan tenaga kependidikan: …</t>
  </si>
  <si>
    <t xml:space="preserve">Kepemimpinan fakultas lemah dalam karak-teristik berikut: 
(1) kepemimpinan operasional, (2) kepemimpinan organisasi, (3) kepemimpinan publik.
</t>
  </si>
  <si>
    <t>Kepemimpinan fakultas memiliki karakter kepemimpinan yang kuat dalam salah satu dari karakteristik berikut: 
(1) kepemimpinan operasional, (2) kepemimpinan organisasi, (3) kepemimpinan publik.</t>
  </si>
  <si>
    <t>Kepemimpinan fakultas memiliki karakter kepemimpinan yang kuat dalam dua dari karakteristik berikut: 
(1) kepemimpinan operasional, (2) kepemimpinan organisasi, (3) kepemimpinan publik.</t>
  </si>
  <si>
    <t>Kepemimpinan fakultas kuat dalam semua memiliki karakteristik yang kuat dalam: 
(1) kepemimpinan operasional, (2) kepemimpinan organisasi, (3) kepemimpinan publik.</t>
  </si>
  <si>
    <t>Kepemimpinan fakultas: …</t>
  </si>
  <si>
    <r>
      <t xml:space="preserve">Sistem pengelolaan fungsional dan operasional Fakultas/Sekolah Tinggi mencakup: </t>
    </r>
    <r>
      <rPr>
        <i/>
        <sz val="10"/>
        <color indexed="8"/>
        <rFont val="Arial"/>
        <family val="2"/>
      </rPr>
      <t>planning, organizing</t>
    </r>
    <r>
      <rPr>
        <sz val="10"/>
        <color indexed="8"/>
        <rFont val="Arial"/>
        <family val="2"/>
      </rPr>
      <t xml:space="preserve">, </t>
    </r>
    <r>
      <rPr>
        <i/>
        <sz val="10"/>
        <color indexed="8"/>
        <rFont val="Arial"/>
        <family val="2"/>
      </rPr>
      <t xml:space="preserve">staffing, leading, controlling </t>
    </r>
    <r>
      <rPr>
        <sz val="10"/>
        <color indexed="8"/>
        <rFont val="Arial"/>
        <family val="2"/>
      </rPr>
      <t>yang efektif dilaksanakan.
Hal-hal tersebut dapat diverifikasi dalam dokumen Renstra Renop, sistem pengawasan, dan standar operating procedures (SOP).</t>
    </r>
  </si>
  <si>
    <t>Sistem pengelolaan fungsional dan operasional Fakultas dilakukan dengan kurang baik.</t>
  </si>
  <si>
    <t>Sistem pengelolaan fungsional dan operasional Fakultas dilakukan dengan cukup baik.</t>
  </si>
  <si>
    <t>Sistem pengelolaan fungsional dan operasional Fakultas/ dilakukan dengan baik.</t>
  </si>
  <si>
    <t xml:space="preserve">Sistem pengelolaan fungsional dan operasional Fakultas dilakukan dengan sangat baik. </t>
  </si>
  <si>
    <t>Tidak memiliki unit pelaksana penjaminan mutu.</t>
  </si>
  <si>
    <t>Memiliki unit penjaminan mutu di tingkat pusat, namun belum melakukan sosialisasi.</t>
  </si>
  <si>
    <t xml:space="preserve">Memiliki unit penjaminan mutu di tingkat pusat/fakultas yang baru dalam tahap sosialisasi  sistem penjaminan mutu.  </t>
  </si>
  <si>
    <t>Memiliki unit penjaminan mutu di tingkat pusat/fakultas yang aktif mensosialisasikan sistem penjaminan mutu dan mulai menerapkannya.</t>
  </si>
  <si>
    <t>Memiliki unit penjaminan mutu di tingkat pusat/fakultas yang telah sepenuhnya melakukan proses penjaminan mutu.</t>
  </si>
  <si>
    <t>Tidak memiliki standar mutu.</t>
  </si>
  <si>
    <t>Tersedia standar mutu yang lengkap, namun belum dilaksanakan.</t>
  </si>
  <si>
    <t>Tersedia standar mutu yang lengkap dan dilaksanakan dengan cukup baik.</t>
  </si>
  <si>
    <t>Tersedia standar mutu yang lengkap dan dilaksanakan dengan baik.</t>
  </si>
  <si>
    <t>Tersedia standar mutu yang  lengkap dan dilaksanakan dengan sangat baik.</t>
  </si>
  <si>
    <t>Tidak tersedia  dokumen tentang penerimaan mahasiswa baru.</t>
  </si>
  <si>
    <t>Tersedia dokumen tentang penerimaan mahasiswa baru, namun pelaksanaannya kurang  konsisten.</t>
  </si>
  <si>
    <t xml:space="preserve">Tersedia dokumen lengkap tentang penerimaan mahasiswa baru dan dilaksanakan secara konsisten. </t>
  </si>
  <si>
    <r>
      <t>T</t>
    </r>
    <r>
      <rPr>
        <vertAlign val="subscript"/>
        <sz val="10"/>
        <color theme="1"/>
        <rFont val="Arial"/>
        <family val="2"/>
      </rPr>
      <t>MBT</t>
    </r>
  </si>
  <si>
    <r>
      <t>T</t>
    </r>
    <r>
      <rPr>
        <vertAlign val="subscript"/>
        <sz val="10"/>
        <color theme="1"/>
        <rFont val="Arial"/>
        <family val="2"/>
      </rPr>
      <t>MB</t>
    </r>
  </si>
  <si>
    <r>
      <t>RM=T</t>
    </r>
    <r>
      <rPr>
        <vertAlign val="subscript"/>
        <sz val="10"/>
        <color theme="1"/>
        <rFont val="Arial"/>
        <family val="2"/>
      </rPr>
      <t>MBT</t>
    </r>
    <r>
      <rPr>
        <sz val="10"/>
        <color theme="1"/>
        <rFont val="Arial"/>
        <family val="2"/>
      </rPr>
      <t>/T</t>
    </r>
    <r>
      <rPr>
        <vertAlign val="subscript"/>
        <sz val="10"/>
        <color theme="1"/>
        <rFont val="Arial"/>
        <family val="2"/>
      </rPr>
      <t>MB</t>
    </r>
  </si>
  <si>
    <t>Motivasi penerimaan mahasiswa transfer dan mahasiswa program internasional. 
Alasan menerima mahasiswa transfer seharusnya untuk meningkatkan layanan pendidikan.  Penerimaan mahasiswa transfer dilakukan dengan proses seleksi yang baik/ketat dalam upaya tetap menjaga mutu, tidak hanya  karena pertimbangan ekonomi semata.</t>
  </si>
  <si>
    <t>Menerima mahasiswa transfer tanpa seleksi.</t>
  </si>
  <si>
    <t>(1) Alasan penerimaan untuk meningkat-kan layanan pendidikan
(2) proses dilakukan secara kurang ketat dan baik
(3) mutu mahasiswa kurang baik</t>
  </si>
  <si>
    <t>(1) Alasan penerimaan untuk meningkatkan layanan pendidikan
(2) proses dilakukan secara ketat dan baik
(3) mahasiswa yang diterima kurang bermutu</t>
  </si>
  <si>
    <t>(1) Alasan penerimaan untuk meningkatkan layanan pendidikan
(2) proses dilakukan secara ketat dan baik
(3) mahasiswa yang diterima bermutu akademik tinggi</t>
  </si>
  <si>
    <t>TW</t>
  </si>
  <si>
    <t>PPIK</t>
  </si>
  <si>
    <t>Rata-rata persentase kelulusan tepat waktu</t>
  </si>
  <si>
    <t>Rata-rata persentase lulusan dengan IPK ≥ 3.0</t>
  </si>
  <si>
    <t>(1)  Ada upaya, dilaksanakan dengan kurang baik 
(2)  hasilnya kurang efektif.</t>
  </si>
  <si>
    <t>(1)  Ada upaya, dilaksana-kan dengan baik 
(2)  hasilnya cukup efektif.</t>
  </si>
  <si>
    <t>(1)  Ada upaya, dilaksanakan dengan baik 
(2)  hasilnya efektif.</t>
  </si>
  <si>
    <t>(1)  Ada upaya, dilaksanakan dengan baik 
(2)  hasilnya sangat efektif.</t>
  </si>
  <si>
    <t>Jumlah dosen tetap.</t>
  </si>
  <si>
    <t>B</t>
  </si>
  <si>
    <t>A/B</t>
  </si>
  <si>
    <t>Jumlah dosen tetap berpendidikan minimal S-3/Sp.</t>
  </si>
  <si>
    <t>Persentase dosen tetap berpendidikan minimal S-3/Sp.</t>
  </si>
  <si>
    <t>Jumlah dosen tetap yang memiliki jabatan minimal lektor kepala</t>
  </si>
  <si>
    <t>Persentase dosen tetap yang memiliki jabatan minimal lektor kepala</t>
  </si>
  <si>
    <t>Jumlah dosen tetap yang memiliki jabatan guru besar</t>
  </si>
  <si>
    <t>Persentase dosen tetap yang memiliki jabatan guru besar</t>
  </si>
  <si>
    <t>Perbedaan antara dosen yang pensiun/keluar dengan dosen baru membuat rata-rata beban kerja dosen semakin jauh dari kisaran ideal.</t>
  </si>
  <si>
    <t>Jumlah dosen yang pensiun/berhenti sama dengan dosen baru, namun rata-rata beban kerja dosen di luar kisaran ideal.</t>
  </si>
  <si>
    <t>Perbedaan antara dosen yang pensiun/keluar dengan dosen baru membuat rata-rata beban kerja dosen semakin dekat  dengan kisaran ideal.</t>
  </si>
  <si>
    <t>Jumlah  dosen yang pensiun/keluar maupun  dosen baru membuat rata-rata beban kerja dosen ada dalam kisaran ideal.</t>
  </si>
  <si>
    <t xml:space="preserve">Upaya pengembangan dan peningkatan mutu dosen tetap.
Penilaian dilakukan dengan penghitungan berikut:
Skor akhir =  Rata-rata skor program studi di UPPS.
Keterangan:
Beban kerja ideal  dosen tetap berkisar antara  11 s.d. 13 sks.
Penghitungan skor untuk masing-masing program studi adalah sbb:
</t>
  </si>
  <si>
    <t xml:space="preserve">Dosen yang tugas belajar.
Penilaian dilakukan dengan penghitungan berikut:
Skor akhir =  Rata-rata skor program studi di UPPS.
Keterangan:
Penghitungan skor untuk masing-masing program studi adalah sbb:
</t>
  </si>
  <si>
    <t>Jika tidak ada pengiriman dosen untuk tugas belajar.</t>
  </si>
  <si>
    <t>Jika 1 orang dosen ke S-2/S-3 dalam bidang yang relevan/bidang ilmu utama.</t>
  </si>
  <si>
    <t>Jika 2 orang dosen ke S-2/S-3 dalam bidang yang relevan/bidang ilmu utama.</t>
  </si>
  <si>
    <t>Jika 3 orang dosen ke S-2/S-3 dalam bidang yang relevan/bidang ilmu utama.</t>
  </si>
  <si>
    <t>Jika 4 orang dosen atau lebih ke S-2/S-3 dalam bidang yang relevan/bidang ilmu utama</t>
  </si>
  <si>
    <t xml:space="preserve">Dosen yang memperoleh gelar tambahan.
Jika jumlah dosen tetap yang berpendidikan S-3 telah mencapai 5 orang per program studi atau jumlah dosen tetap berpendidikan S-2/S-3 lebih besar dari 80%, maka skor = 4. 
Bila tidak, maka penilaian butir ini dihitung dengan cara berikut:
Skor akhir =  Rata-rata skor program studi di UPPS.
Keterangan:
Penghitungan skor untuk masing-masing program studi adalah sbb:
</t>
  </si>
  <si>
    <t>Jika tidak ada dosen yang memperoleh gelar tambahan.</t>
  </si>
  <si>
    <t>Jika1 orang dosen memperoleh gelar tambahan S2/S3 dalam bidang yang relevan/bidang ilmu utama.</t>
  </si>
  <si>
    <t>Jika 2 orang dosen memperoleh gelar tambahan  S2/S3 dalam bidang yang relevan/bidang ilmu utama.</t>
  </si>
  <si>
    <t>Jika 3 orang dosen memperoleh gelar tambahan S2/S3 dalam bidang yang relevan/bidang ilmu utama.</t>
  </si>
  <si>
    <t>Jika 4 orang dosen atau lebih yang memperoleh  gelar tambahan S2/S3 dalam bidang yang relevan/bidang ilmu utama.</t>
  </si>
  <si>
    <t>Tidak ada upaya pengembangan, padahal jumlah dosen tetapnya masih kurang memadai.</t>
  </si>
  <si>
    <t>Upaya dan komitmen institusi dalam pengembangan tenaga dosen tetap kurang, tidak ada dukungan dana untuk dosen tetap yang melanjutkan studi.</t>
  </si>
  <si>
    <t>Upaya pengembangan tenaga dosen tetap cukup baik, namun dukungan dana dari pihak institusi masih kurang, sehingga kurang memotivasi dosen.</t>
  </si>
  <si>
    <t>Upaya pengembangan baik tercermin dari proyeksi yang jelas dan terencana.  Institusi berkomitmen membantu sebagian dana pendidikan dosen.</t>
  </si>
  <si>
    <t>Upaya pengembangan sangat baik, tercermin dari proyeksi yang jelas, terencana dan didukung sepenuhnya oleh institusi (dalam hal pendanaan, maupun beban tugas).</t>
  </si>
  <si>
    <t>Kurang dalam jumlah, serta banyak yang kualifikasinya kurang memadai.</t>
  </si>
  <si>
    <t>Cukup dalam jumlah untuk melakukan tugasnya dengan cukup baik/efectif, namun hanya sebagian kecil yang memiliki kualifikasi yang memadai.</t>
  </si>
  <si>
    <t>Cukup dalam jumlah untuk melakukan tugasnya dengan baik/efektif, dan sebagian besar memiliki kualifikasi yang memadai.</t>
  </si>
  <si>
    <t>Cukup dalam jumlah untuk melakukan tugasnya dengan sangat baik/efektif, serta memiliki kualifikasi yang memadai.</t>
  </si>
  <si>
    <t>Fakultas tidak berperan.</t>
  </si>
  <si>
    <t>Fakultas kurang berperan dalam  memberi fasilitas.</t>
  </si>
  <si>
    <t>Fakultas cukup berperan dengan memberi fasilitas, namun tidak mendukung dalam hal pendanaan.</t>
  </si>
  <si>
    <t>Fakultas  berperan dengan memberi fasilitas yang baik, termasuk pendanaan, walaupun tidak seluruhnya.</t>
  </si>
  <si>
    <t>Fakultas sangat berperan dengan memberi fasilitas yang sangat baik, termasuk pendanaan.</t>
  </si>
  <si>
    <t>Tidak ada sistem monitoring dan evaluasi.</t>
  </si>
  <si>
    <t>Fakultas melakukan monitoring dan evaluasi secara  insidental  dan hasilnya belum digunakan untuk perbaikan proses pembelajaran.</t>
  </si>
  <si>
    <t>Fakultas melakukan monitoring dan evaluasi secara bersistem namun tidak terus menerus  dan hasilnya tidak selalu digunakan untuk perbaikan proses pembelajaran.</t>
  </si>
  <si>
    <t>Fakultas melakukan monitoring dan evaluasi secara bersistem namun tidak terus menerus   dan hasilnya digunakan untuk perbaikan proses pembelajaran.</t>
  </si>
  <si>
    <t>Fakultas melakukan monitoring dan evaluasi secara bersistem dan terus menerus dan hasilnya digunakan untuk perbaikan proses pembelajaran.</t>
  </si>
  <si>
    <t xml:space="preserve">Bentuk dukungan Fakultas dalam penciptaan suasana akademik yang kondusif. Bentuk dukungan dapat berupa:
(1) kebijakan tentang suasana akademik jelas, (2) menyediakan sarana dan prasarana (3) dukungan dana yang cukup, (4) kegiatan akademik di dalam dan di luar kelas yang mendorong interaksi akademik antara dosen dan mahasiswa untuk pengembangan  perilaku kecendekiawanan.
Setiap subbutir dinilai dengan gradasi: 4: sangat baik, 3: baik, 2: cukup
1: kurang.
</t>
  </si>
  <si>
    <t xml:space="preserve">Skor untuk kebijakan suasana akademik. </t>
  </si>
  <si>
    <t>Skor untuk penyediaan sarana dan prasarana.</t>
  </si>
  <si>
    <t xml:space="preserve">Skor untuk dukungan dana Fakultas. </t>
  </si>
  <si>
    <t xml:space="preserve">Skor untuk kegiatan yang mengembangkan perilaku kecendekiawanan. </t>
  </si>
  <si>
    <t>Total dana yang diperoleh dari mahasiswa dalam tiga tahun terakhir</t>
  </si>
  <si>
    <t>Total penerimaan dana dari berbagai sumber dalam tiga tahun terakhir</t>
  </si>
  <si>
    <t>Persentase dana fakultas yang berasal dari mahasiswa</t>
  </si>
  <si>
    <t>juta</t>
  </si>
  <si>
    <t>Tidak ada keperluan yang tercukupi.</t>
  </si>
  <si>
    <t>Jumlah dana mencukupi keperluan operasional saja.</t>
  </si>
  <si>
    <t>Jumlah dana mencukupi keperluan operasional, dan sebagian kecil pengembangan.</t>
  </si>
  <si>
    <t>Jumlah dana mencukupi keperluan operasional, dan sebagian pengembangan.</t>
  </si>
  <si>
    <t>Jumlah dana mencukupi seluruh keperluan operasional dan pengembangan.</t>
  </si>
  <si>
    <t>Upaya dan hasilnya kurang.</t>
  </si>
  <si>
    <t>Upaya dan hasilnya cukup.</t>
  </si>
  <si>
    <t>Upaya dan hasilnya baik.</t>
  </si>
  <si>
    <t>Upaya dan hasilnya sangat baik.</t>
  </si>
  <si>
    <t>Tidak ada investasi.</t>
  </si>
  <si>
    <t xml:space="preserve">Sangat kurang.  </t>
  </si>
  <si>
    <t>Cukup, untuk pengadaan sarana minimal.</t>
  </si>
  <si>
    <t>Memadai, sehingga proses pembelajaran berlangsung dengan baik.</t>
  </si>
  <si>
    <t>Sangat memadai, sehingga tidak hanya untuk pengadaan sarana pendukung proses pembelajaran, juga untuk sarana kegiatan ekstra kurikuler.</t>
  </si>
  <si>
    <t>Tidak ada rencana investasi.</t>
  </si>
  <si>
    <t>Rencana investasi untuk sarana tidak realistik.</t>
  </si>
  <si>
    <t>Rencana investasi untuk sarana cukup realistik, walau harus menentukan prioritas karena keterbatasan dana.</t>
  </si>
  <si>
    <t>Rencana investasi untuk sarana realistik, didukung dengan kepastian dana walau masih terbatas.</t>
  </si>
  <si>
    <t>Rencana investasi untuk sarana sangat realistik, didukung dengan kepastian dana yang memadai.</t>
  </si>
  <si>
    <t>Tidak ada prasarana.</t>
  </si>
  <si>
    <t>Prasarana sangat kurang.</t>
  </si>
  <si>
    <t>Prasarana cukup untuk kegiatan pengajaran saja.</t>
  </si>
  <si>
    <t>Prasarana lengkap untuk kegiatan tridarma PT.</t>
  </si>
  <si>
    <t>Prasarana sangat lengkap untuk kegiatan tridarma PT.</t>
  </si>
  <si>
    <t>Fakultas tidak memiliki perencanaan pengadaan prasarana.</t>
  </si>
  <si>
    <t>Fakultas kurang baik dalam perencanaan pengadaan prasarana.</t>
  </si>
  <si>
    <t>Fakultas cukup baik dalam  perencanaan pengadaan prasarana, namun terhambat masalah dana sehingga harus menentukan prioritas.</t>
  </si>
  <si>
    <t>Fakultas baik dalam perencanaan pengadaan prasarana, dan didukung oleh dana yang cukup memadai.</t>
  </si>
  <si>
    <t>Fakultas sangat baik dalam perencanaan pengadaan prasarana, didukung oleh dana yang memadai sehingga  memungkinkan memiliki  prasarana yang  lengkap.</t>
  </si>
  <si>
    <r>
      <t xml:space="preserve">Proses pembelajaran dilakukan secara manual.
Pengelolaan koleksi perpustakaan menggunakan komputer </t>
    </r>
    <r>
      <rPr>
        <i/>
        <sz val="10"/>
        <color rgb="FF000000"/>
        <rFont val="Arial"/>
        <family val="2"/>
      </rPr>
      <t>stand alone</t>
    </r>
    <r>
      <rPr>
        <sz val="10"/>
        <color rgb="FF000000"/>
        <rFont val="Arial"/>
        <family val="2"/>
      </rPr>
      <t>, atau secara manual.</t>
    </r>
  </si>
  <si>
    <r>
      <t xml:space="preserve">Sebagian dengan komputer, namun tidak terhubung dengan jaringan luas/internet.  Jumlah </t>
    </r>
    <r>
      <rPr>
        <i/>
        <sz val="10"/>
        <color rgb="FF000000"/>
        <rFont val="Arial"/>
        <family val="2"/>
      </rPr>
      <t>software</t>
    </r>
    <r>
      <rPr>
        <sz val="10"/>
        <color rgb="FF000000"/>
        <rFont val="Arial"/>
        <family val="2"/>
      </rPr>
      <t xml:space="preserve"> kurang memadai.
Koleksi perpustakaan dikelola dengan komputer yang tidak terhubung jaringan.</t>
    </r>
  </si>
  <si>
    <r>
      <t xml:space="preserve">Dengan komputer yang terhubung dengan jaringan luas/internet, </t>
    </r>
    <r>
      <rPr>
        <i/>
        <sz val="10"/>
        <color rgb="FF000000"/>
        <rFont val="Arial"/>
        <family val="2"/>
      </rPr>
      <t>software</t>
    </r>
    <r>
      <rPr>
        <sz val="10"/>
        <color rgb="FF000000"/>
        <rFont val="Arial"/>
        <family val="2"/>
      </rPr>
      <t xml:space="preserve"> dengan jumlah yang memadai. Tersedia fasilitas </t>
    </r>
    <r>
      <rPr>
        <i/>
        <sz val="10"/>
        <color rgb="FF000000"/>
        <rFont val="Arial"/>
        <family val="2"/>
      </rPr>
      <t>e-learning</t>
    </r>
    <r>
      <rPr>
        <sz val="10"/>
        <color rgb="FF000000"/>
        <rFont val="Arial"/>
        <family val="2"/>
      </rPr>
      <t xml:space="preserve"> namun belum dimanfaatkan secara efektif.  Koleksi perpustakaan dapat diakses secara </t>
    </r>
    <r>
      <rPr>
        <i/>
        <sz val="10"/>
        <color rgb="FF000000"/>
        <rFont val="Arial"/>
        <family val="2"/>
      </rPr>
      <t xml:space="preserve">on-line </t>
    </r>
    <r>
      <rPr>
        <sz val="10"/>
        <color rgb="FF000000"/>
        <rFont val="Arial"/>
        <family val="2"/>
      </rPr>
      <t>namun masih ada kendala dalam kecepatan akses.</t>
    </r>
  </si>
  <si>
    <r>
      <t xml:space="preserve">Dengan komputer yang terhubung dengan jaringan luas/internet, </t>
    </r>
    <r>
      <rPr>
        <i/>
        <sz val="10"/>
        <color rgb="FF000000"/>
        <rFont val="Arial"/>
        <family val="2"/>
      </rPr>
      <t>software</t>
    </r>
    <r>
      <rPr>
        <sz val="10"/>
        <color rgb="FF000000"/>
        <rFont val="Arial"/>
        <family val="2"/>
      </rPr>
      <t xml:space="preserve"> dengan jumlah yang memadai. Tersedia fasilitas </t>
    </r>
    <r>
      <rPr>
        <i/>
        <sz val="10"/>
        <color rgb="FF000000"/>
        <rFont val="Arial"/>
        <family val="2"/>
      </rPr>
      <t>e-learning</t>
    </r>
    <r>
      <rPr>
        <sz val="10"/>
        <color rgb="FF000000"/>
        <rFont val="Arial"/>
        <family val="2"/>
      </rPr>
      <t xml:space="preserve"> yang digunakan secara baik, dan akses </t>
    </r>
    <r>
      <rPr>
        <i/>
        <sz val="10"/>
        <color rgb="FF000000"/>
        <rFont val="Arial"/>
        <family val="2"/>
      </rPr>
      <t>on-line</t>
    </r>
    <r>
      <rPr>
        <sz val="10"/>
        <color rgb="FF000000"/>
        <rFont val="Arial"/>
        <family val="2"/>
      </rPr>
      <t xml:space="preserve"> ke koleksi perpustakaan.</t>
    </r>
  </si>
  <si>
    <r>
      <t xml:space="preserve">Catatan: Tiap baris hanya ada satu tanda </t>
    </r>
    <r>
      <rPr>
        <sz val="10"/>
        <color theme="3"/>
        <rFont val="Arial"/>
        <family val="2"/>
      </rPr>
      <t>√.</t>
    </r>
  </si>
  <si>
    <t xml:space="preserve">Media/cara penyebaran informasi untuk sivitas akademika di Fakultas.
Enam jenis media:
1. Surat
2. Faksimili
3. Mailing list, e-mail
4. Sms  
5. Buletin  
</t>
  </si>
  <si>
    <t>Secara manual.</t>
  </si>
  <si>
    <t>Dengan komputer, tanpa jaringan dan software basis data yang cukup memadai.</t>
  </si>
  <si>
    <t>Dengan komputer yang terhubung dengan jaringan lokal, dengan software basis data yang memadai.  Akses terhadap data yang relevan cukup cepat.</t>
  </si>
  <si>
    <t>Dengan komputer yang terhubung dengan jaringan luas/internet dengan software basis data yang memadai. Akses terhadap data yang relevan sangat cepat.</t>
  </si>
  <si>
    <t>Tidak ada penyebaran informasi/ kebijakan kepada sivitas akademika.</t>
  </si>
  <si>
    <r>
      <t xml:space="preserve">Menggunakan secara efektif hanya 1 jenis media, tanpa </t>
    </r>
    <r>
      <rPr>
        <i/>
        <sz val="10"/>
        <color theme="1"/>
        <rFont val="Arial"/>
        <family val="2"/>
      </rPr>
      <t>mailing list</t>
    </r>
    <r>
      <rPr>
        <sz val="10"/>
        <color theme="1"/>
        <rFont val="Arial"/>
        <family val="2"/>
      </rPr>
      <t xml:space="preserve"> dan </t>
    </r>
    <r>
      <rPr>
        <i/>
        <sz val="10"/>
        <color theme="1"/>
        <rFont val="Arial"/>
        <family val="2"/>
      </rPr>
      <t>e-mail</t>
    </r>
    <r>
      <rPr>
        <sz val="10"/>
        <color theme="1"/>
        <rFont val="Arial"/>
        <family val="2"/>
      </rPr>
      <t>.</t>
    </r>
  </si>
  <si>
    <r>
      <t xml:space="preserve">Menggunakan secara efektif  2 jenis media, tanpa </t>
    </r>
    <r>
      <rPr>
        <i/>
        <sz val="10"/>
        <color theme="1"/>
        <rFont val="Arial"/>
        <family val="2"/>
      </rPr>
      <t>mailing list</t>
    </r>
    <r>
      <rPr>
        <sz val="10"/>
        <color theme="1"/>
        <rFont val="Arial"/>
        <family val="2"/>
      </rPr>
      <t xml:space="preserve"> dan </t>
    </r>
    <r>
      <rPr>
        <i/>
        <sz val="10"/>
        <color theme="1"/>
        <rFont val="Arial"/>
        <family val="2"/>
      </rPr>
      <t>e-mail.</t>
    </r>
  </si>
  <si>
    <r>
      <t xml:space="preserve">Menggunakan secara efektif  3 jenis media, tanpa </t>
    </r>
    <r>
      <rPr>
        <i/>
        <sz val="10"/>
        <color theme="1"/>
        <rFont val="Arial"/>
        <family val="2"/>
      </rPr>
      <t>mailing list</t>
    </r>
    <r>
      <rPr>
        <sz val="10"/>
        <color theme="1"/>
        <rFont val="Arial"/>
        <family val="2"/>
      </rPr>
      <t xml:space="preserve"> dan </t>
    </r>
    <r>
      <rPr>
        <i/>
        <sz val="10"/>
        <color theme="1"/>
        <rFont val="Arial"/>
        <family val="2"/>
      </rPr>
      <t>e-mail.</t>
    </r>
  </si>
  <si>
    <r>
      <t xml:space="preserve">Menggunakan secara efektif  fasilitas </t>
    </r>
    <r>
      <rPr>
        <i/>
        <sz val="10"/>
        <color theme="1"/>
        <rFont val="Arial"/>
        <family val="2"/>
      </rPr>
      <t>mailing list</t>
    </r>
    <r>
      <rPr>
        <sz val="10"/>
        <color theme="1"/>
        <rFont val="Arial"/>
        <family val="2"/>
      </rPr>
      <t xml:space="preserve"> dan </t>
    </r>
    <r>
      <rPr>
        <i/>
        <sz val="10"/>
        <color theme="1"/>
        <rFont val="Arial"/>
        <family val="2"/>
      </rPr>
      <t>e-mail.</t>
    </r>
  </si>
  <si>
    <t>Tidak ada rencana pengembangan.</t>
  </si>
  <si>
    <t>Rencana pengembangan tidak jelas.</t>
  </si>
  <si>
    <t>Ada rencana pengembang-an, cukup sesuai dengan kebutuhan saat ini.</t>
  </si>
  <si>
    <t>Ada rencana pengembang-an, sudah memperhitungkan perkem-bangan teknologi dan kebutuhan akan akses informasi yang cepat, namun masih terbatas dengan pendanaan.</t>
  </si>
  <si>
    <t>Ada rencana pengembang-an, sudah memperhitung-kan perkem-bangan teknologi dan kebutuhan akan akses informasi yang cepat didukung dengan pendanaan yang memadai.</t>
  </si>
  <si>
    <t>Ada upaya, tapi tidak efektif (jumlah penelitian berkurang dari tahun sebelumnya).</t>
  </si>
  <si>
    <t>Ada upaya, tetapi tidak cukup untuk meningkatkan jumlah penelitian.</t>
  </si>
  <si>
    <t>Ada upaya  dan efektif   meningkatkan jumlah penelitian, namun dengan dana yang relatif terbatas.</t>
  </si>
  <si>
    <t>Ada upaya dan sangat efektif meningkatkan jumlah penelitian dan dananya.</t>
  </si>
  <si>
    <t>Ada upaya, tapi tidak efektif (jumlah kegiatan PkM berkurang dari tahun sebelumnya).</t>
  </si>
  <si>
    <t>Ada upaya, tetapi tidak cukup untuk meningkatkan jumlah kegiatan PkM.</t>
  </si>
  <si>
    <t>Ada upaya  dan efektif   meningkatkan jumlah kegiatan PkM, namun dengan dana yang relatif terbatas.</t>
  </si>
  <si>
    <t>Ada upaya dan sangat efektif meningkatkan jumlah kegiatan PkM dan dananya.</t>
  </si>
  <si>
    <t>Kegiatan kerjasama dengan instansi di dalam negeri dalam tiga tahun terakhir: …</t>
  </si>
  <si>
    <t>Kegiatan kerjasama dengan instansi di luar negeri dalam tiga tahun terakhir: …</t>
  </si>
  <si>
    <t xml:space="preserve">Kegiatan kerjasama dengan instansi di luar negeri dalam tiga tahun terakhir.
Catatan:
Tingkat kecukupan bergantung pada jumlah dosen tetap PS.
</t>
  </si>
  <si>
    <t>Kegiatan kerjasama dengan instansi di dalam negeri dalam tiga tahun terakhir.
Catatan:
Tingkat kecukupan bergantung pada jumlah dosen tetap PS.</t>
  </si>
  <si>
    <t>Ada kerjasama dengan institusi akademik atau profesional di dalam negeri, cukup dalam jumlah. Semuanya  relevan dengan bidang keahlian PS.</t>
  </si>
  <si>
    <t xml:space="preserve">Ada kerjasama dengan institusi akademik atau profesional di luar negeri, kurang dalam jumlah. Sebagian besar relevan dengan bidang keahlian PS. </t>
  </si>
  <si>
    <t>Ada kerjasama dengan institusi akademik atau profesional di luar negeri, cukup dalam jumlah. Sebagian besar relevan dengan bidang keahlian PS.</t>
  </si>
  <si>
    <r>
      <t xml:space="preserve">Upaya fakultas dalam mengembangkan tenaga dosen tetap. 
</t>
    </r>
    <r>
      <rPr>
        <b/>
        <sz val="10"/>
        <color theme="1"/>
        <rFont val="Arial"/>
        <family val="2"/>
      </rPr>
      <t xml:space="preserve">Jika jumlah dosen tetap yang berpendidikan S-3 telah mencapai 5 orang per program studi atau jumlah dosen tetap berpendidikan S-2/S-3 lebih besar dari 80%, maka skor = 4. </t>
    </r>
  </si>
  <si>
    <r>
      <rPr>
        <b/>
        <sz val="10"/>
        <color theme="1"/>
        <rFont val="Arial"/>
        <family val="2"/>
      </rPr>
      <t xml:space="preserve">Banyaknya kegiatan pelayanan/pengabdian kepada masyarakat (PkM). 
</t>
    </r>
    <r>
      <rPr>
        <sz val="10"/>
        <color theme="1"/>
        <rFont val="Arial"/>
        <family val="2"/>
      </rPr>
      <t>Skor jumlah kegiatan PkM dihitung dengan cara berikut.  
RPkM = rata-rata jumlah kegiatan PkM per dosen tetap per tiga tahun.  Skor = 0 jika RPkM = 0.  
Skor = 1 jika 0.0 &lt; RPkM ≤ 0.3.  
Skor = 2 jika 0.3 &lt; RPkM ≤ 0.6. 
Skor = 3 jika 0.6 &lt; RPkM ≤ 1.0. 
Skor = 4 jika RPkM ≥ 1.</t>
    </r>
  </si>
  <si>
    <r>
      <rPr>
        <b/>
        <sz val="10"/>
        <color theme="1"/>
        <rFont val="Arial"/>
        <family val="2"/>
      </rPr>
      <t>Besar dana untuk kegiatan PkM.</t>
    </r>
    <r>
      <rPr>
        <sz val="10"/>
        <color theme="1"/>
        <rFont val="Arial"/>
        <family val="2"/>
      </rPr>
      <t xml:space="preserve"> 
Skor besar dana kegiatan PkM dihitung dengan cara berikut.  
DPkM = rata-rata besar dana kegiatan PkM per dosen tetap per tahun. Skor = 1 jika DPkM ≤ Rp 0.5 juta.  
Skor = 2 jika Rp 0.5 juta &lt; DP ≤ Rp 1 juta.  
Skor = 3 jika Rp 1 juta &lt; DP ≤ Rp 1.5 juta. 
Skor = 4 jika DP ≥ Rp 1.5 juta.</t>
    </r>
  </si>
  <si>
    <r>
      <rPr>
        <b/>
        <sz val="10"/>
        <color theme="1"/>
        <rFont val="Arial"/>
        <family val="2"/>
      </rPr>
      <t>Banyaknya kegiatan penelitian.</t>
    </r>
    <r>
      <rPr>
        <sz val="10"/>
        <color theme="1"/>
        <rFont val="Arial"/>
        <family val="2"/>
      </rPr>
      <t xml:space="preserve"> 
Skor jumlah penelitian dihitung dengan cara berikut.  
RP = rata-rata jumlah penelitian per dosen per tiga tahun.  
Skor = 0 jika RP = 0.  
Skor = 1 jika 0.0 &lt; RP ≤ 0.3.  
Skor = 2 jika 0.3 &lt; RP ≤ 0.6. 
Skor = 3 jika 0.6 &lt; RP ≤ 1.0. 
Skor = 4 jika RP ≥ 1.</t>
    </r>
  </si>
  <si>
    <r>
      <rPr>
        <b/>
        <sz val="10"/>
        <color theme="1"/>
        <rFont val="Arial"/>
        <family val="2"/>
      </rPr>
      <t>Besar dana penelitian.</t>
    </r>
    <r>
      <rPr>
        <sz val="10"/>
        <color theme="1"/>
        <rFont val="Arial"/>
        <family val="2"/>
      </rPr>
      <t xml:space="preserve"> 
Skor besar dana penelitian dihitung dengan cara berikut.  
DP = rata-rata besar dana penelitian per dosen tetap per tahun. Skor = 1 jika DP ≤ Rp 1 juta.  
Skor = 2 jika Rp 1 juta &lt; DP ≤ Rp 5 juta.  
Skor = 3 jika Rp 5 juta &lt; DP ≤ Rp 10 juta. 
Skor = 4 jika DP ≥ Rp 10 juta.</t>
    </r>
  </si>
  <si>
    <t xml:space="preserve">Aksesibilitas data dalam sistem informasi. </t>
  </si>
  <si>
    <t>FORMAT 1. PENILAIAN BORANG PROGRAM STUDI DOKTER SPESIALIS</t>
  </si>
  <si>
    <t>FORMAT 2. PENILAIAN EVALUASI DIRI PROGRAM STUDI DOKTER SPESIALIS</t>
  </si>
  <si>
    <t>FORMAT 3. PENILAIAN BORANG YANG DIISI FAKULTAS (UNIT PENGELOLA PROGRAM STUDI DOKTER SPESIALIS)</t>
  </si>
  <si>
    <t>FORMAT 4. BERITA ACARA ASESMEN LAPANGAN PROGRAM STUDI DOKTER SPESIALIS.</t>
  </si>
  <si>
    <t>UNTUK AKREDITASI PROGRAM STUDI DOKTER SPESIALIS</t>
  </si>
  <si>
    <t>Berita acara visitasi ini ditandatangani oleh Asesor dan Ketua Program Studi setelah isi tabel tersebut di atas diperiksa  dan disetujui oleh Ketua Program Studi.</t>
  </si>
  <si>
    <t>Kejelasan, kerealistikan, dan keterkaitan antar visi, misi, tujuan,  sasaran program studi, dan pemangku kepentingan yang terlibat.</t>
  </si>
  <si>
    <t xml:space="preserve">Skor kejelasan. </t>
  </si>
  <si>
    <t>Skor kerealistikan</t>
  </si>
  <si>
    <t>Skor keterkaitan</t>
  </si>
  <si>
    <t>Skor keterlibatan pemangku kepentingan</t>
  </si>
  <si>
    <t>Skor akhir</t>
  </si>
  <si>
    <t>Visi, misi, dan tujuan PS: …</t>
  </si>
  <si>
    <t>Dipahami dengan baik oleh sebagian sivitas akademika dan tenaga kependidikan.</t>
  </si>
  <si>
    <t>Dipahami dengan baik oleh sebagian besar sivitas akademika dan tenaga kependidikan.</t>
  </si>
  <si>
    <t>Sistem pengelolaan fungsional dan operasional program studi mencakup: perencanaan, pengorganisasian, penstafan, pengarahan, dan  pengawasan,serta efektivitas pelaksanaannya.</t>
  </si>
  <si>
    <t>Tersedia dokumen tentang penerimaan peserta pendidikan baru namun dilaksanakan sebagian konsisten.</t>
  </si>
  <si>
    <t>Tersedia  dokumen tentang penerimaan peserta pendidikan baru dan dilaksanakan besar konsisten.</t>
  </si>
  <si>
    <t>Tidak ada pelayanan kepada peserta didik, atau jika tersedia, mutunya kurang baik.</t>
  </si>
  <si>
    <t>Ada satu jenis pelayanan peserta didik yang dapat diakses, dan bermutu baik.</t>
  </si>
  <si>
    <t>Ada dua jenis pelayanan peserta didik yang dapat diakses, namun hanya satu yang bermutu baik.</t>
  </si>
  <si>
    <t xml:space="preserve">Ada dua jenis pelayanan peserta didik yang dapat diakses, dan keduanya bermutu baik. </t>
  </si>
  <si>
    <t>Dosen pembimbing belum berpendidikan minimal Sp.Konsultan</t>
  </si>
  <si>
    <t>Dosen pembimbing utama berpendidikan minimal Sp.Konsultan.</t>
  </si>
  <si>
    <t>Dosen pembimbing utama berpendidikan minimal Sp.Konsultan dan S-2.</t>
  </si>
  <si>
    <t>Dosen pembimbing utama berpendidikan minimal Sp.Konsultan dan S-3.</t>
  </si>
  <si>
    <t>Ada dokumen yang lengkap tentang suasana akademik, dan sebagian dilaksanakan dengan konsisten.</t>
  </si>
  <si>
    <t>Ada dokumen yang lengkap tentang suasana akademik, dan sebagian besar dilaksanakan dengan konsisten.</t>
  </si>
  <si>
    <t xml:space="preserve">Ada panduan namun tidak lengkap dan tidak dilaksanakan secara konsisten. </t>
  </si>
  <si>
    <t>Ada panduan yang lengkap tentang ketiga aspek, dan sebagian dilaksanakan dengan konsisten.</t>
  </si>
  <si>
    <t>Ada panduan yang lengkap tentang ketiga aspek, dan sebagian besar dilaksanakan dengan konsisten.</t>
  </si>
  <si>
    <t xml:space="preserve">Kelengkapan dan mutu sarana pada Unit Rawat Jalan. 
</t>
  </si>
  <si>
    <t>Kelengkapan dan mutu sarana pada Unit Rawat Inap sangat kurang.</t>
  </si>
  <si>
    <t>Kelengkapan dan mutu sarana pada Unit Rawat Inap kurang.</t>
  </si>
  <si>
    <t>Kelengkapan dan mutu sarana pada Unit Rawat Inap cukup.</t>
  </si>
  <si>
    <t>Kelengkapan dan mutu sarana pada Unit Rawat Inap baik.</t>
  </si>
  <si>
    <t>Kelengkapan dan mutu sarana pada Unit Rawat Inap sangat baik.</t>
  </si>
  <si>
    <t>Kelengkapan dan mutu sarana pada Unit Rawat Jalan sangat kurang.</t>
  </si>
  <si>
    <t>Kelengkapan dan mutu sarana pada Unit Rawat Jalan kurang.</t>
  </si>
  <si>
    <t>Kelengkapan dan mutu sarana pada Unit Rawat Jalan cukup.</t>
  </si>
  <si>
    <t>Kelengkapan dan mutu sarana pada Unit Rawat Jalan baik.</t>
  </si>
  <si>
    <t>Kelengkapan dan mutu sarana pada Unit Rawat Jalan sangat baik.</t>
  </si>
  <si>
    <t>Kelengkapan dan mutu sarana pada kamar bedah sangat kurang.</t>
  </si>
  <si>
    <t>Kelengkapan dan mutu sarana pada kamar bedah kurang.</t>
  </si>
  <si>
    <t>Kelengkapan dan mutu sarana pada kamar bedah cukup.</t>
  </si>
  <si>
    <t>Kelengkapan dan mutu sarana pada kamar bedah baik.</t>
  </si>
  <si>
    <t>Kelengkapan dan mutu sarana pada kamar bedah sangat baik.</t>
  </si>
  <si>
    <t>Prasarana pendidikan pelengkap RS Pendidikan Afiliasi dan Satelit sangat kurang.</t>
  </si>
  <si>
    <t>Prasarana pendidikan pelengkap RS Pendidikan Afiliasi dan Satelit kurang.</t>
  </si>
  <si>
    <t>Prasarana pendidikan pelengkap RS Pendidikan Afiliasi dan Satelit cukup.</t>
  </si>
  <si>
    <t>Prasarana pendidikan pelengkap RS Pendidikan Afiliasi dan Satelit baik.</t>
  </si>
  <si>
    <t>Prasarana pendidikan pelengkap RS Pendidikan Afiliasi dan Satelit sangat baik.</t>
  </si>
  <si>
    <t>FORMAT 5. BERITA  ACARA ASESMEN LAPANGAN  FAKULTAS (UNIT PENGELOLA PROGRAM STUDI DOKTER SPESIALIS)</t>
  </si>
  <si>
    <t>BERITA ACARA ASESMEN LAPANGAN FAKULTAS UNTUK 
AKREDITASI PROGRAM STUDI DOKTER SPESIALIS</t>
  </si>
  <si>
    <t>Berita acara visitasi ini ditandatangani oleh Asesor dan Pimpinan Fakultas setelah isi tabel tersebut di atas diperiksa  dan disetujui oleh Pimpinan Fakultas atau yang ditugaskan.</t>
  </si>
  <si>
    <t>Asesmen Lapangan</t>
  </si>
  <si>
    <t>FORMAT 6. LAPORAN PENILAIAN AKHIR BORANG PROGRAM STUDI DOKTER SPESIALIS.</t>
  </si>
  <si>
    <t>Berdasarkan hasil asesmen lapangan, penilaian untuk setiap butir, dasar penilaian, dan rekomendasi pembinaan disajikan pada table berikut.</t>
  </si>
  <si>
    <t>FORMAT 9. REKOMENDASI PEMBINAAN UNTUK PROGRAM STUDI DOKTER SPESIALIS.</t>
  </si>
  <si>
    <t>FORMAT 7. LAPORAN PENILAIAN AKHIR EVALUASI DIRI (ED) PROGRAM STUDI DOKTER SPESIALIS.</t>
  </si>
  <si>
    <t>FORMAT 8. LAPORAN PENILAIAN AKHIR BORANG FAKULTAS (UNIT PENGELOLA PROGRAM STUDI DOKTER SPESIALIS.</t>
  </si>
  <si>
    <t>Berdasarkan hasil asesmen lapangan, penilaian untuk setiap butir, dasar penilaian, memberikan rekomendasi pembinaan program studi tersebut di atas sebagai berikut.</t>
  </si>
  <si>
    <t>ASESMEN KECUKUPAN</t>
  </si>
  <si>
    <t>ASESMEN LAPANGAN</t>
  </si>
  <si>
    <t>Borang PS</t>
  </si>
  <si>
    <t>Evaluasi Diri PS</t>
  </si>
  <si>
    <t>Borang UPPS</t>
  </si>
  <si>
    <t>SUMBER</t>
  </si>
  <si>
    <t>BOBOT</t>
  </si>
  <si>
    <t>SKOR</t>
  </si>
  <si>
    <t>BOBOT X SKOR</t>
  </si>
  <si>
    <t>BORANG PROGRAM STUDI</t>
  </si>
  <si>
    <t>EVALUASI DIRI PROGRAM STUDI</t>
  </si>
  <si>
    <t>NILAI AKREDITASI</t>
  </si>
  <si>
    <t>STATUS AKREDITASI</t>
  </si>
  <si>
    <t>PENILAIAN AKREDITASI PROGRAM STUDI DOKTER SPESIALIS
(ASESMEN KECUKUPAN)</t>
  </si>
  <si>
    <t>PENILAIAN AKREDITASI PROGRAM STUDI DOKTER SPESIALIS
(ASESMEN LAPANGAN)</t>
  </si>
  <si>
    <t>PENILAIAN AKREDITASI PROGRAM STUDI DOKTER SPESIALIS
(ASESMEN LAPANGAN YANG TELAH DIVALIDASI)</t>
  </si>
  <si>
    <t xml:space="preserve">BORANG UNIT PENGELOLA PROGRAM STUDI </t>
  </si>
  <si>
    <t>BORANG UNIT PENGELOLA PROGRAM STUDI</t>
  </si>
  <si>
    <t>ASESMEN LAPANGAN &amp; VALIDASI</t>
  </si>
  <si>
    <t>FORMAT 11. VALIDASI HASIL BERITA  ACARA ASESMEN LAPANGAN  PROGRAM STUDI DOKTER SPESIALIS</t>
  </si>
  <si>
    <t>FORMAT 12. VALIDASI HASIL LAPORAN PENILAIAN AKHIR EVALUASI DIRI (ED) PROGRAM STUDI DOKTER SPESIALIS.</t>
  </si>
  <si>
    <t>Nama Validator</t>
  </si>
  <si>
    <t>Dari kegiatan tersebut diperoleh informasi butir-butir borang yang sesuai/tidak sesuai dengan kenyataan, dengan penjelasan sebagai tercantum didalam daftar sebagai berikut.</t>
  </si>
  <si>
    <t>HASIL VALIDASI BERITA ACARA ASESMEN LAPANGAN FAKULTAS 
UNTUK AKREDITASI PROGRAM STUDI DOKTER SPESIALIS</t>
  </si>
  <si>
    <t>BERITA ACARA VALIDASI HASIL ASESMEN LAPANGAN PROGRAM STUDI 
UNTUK AKREDITASI PROGRAM STUDI DOKTER SPESIALIS</t>
  </si>
  <si>
    <t>FORMAT 13. HASIL VALIDASI BERITA  ACARA ASESMEN LAPANGAN  FAKULTAS (UNIT PENGELOLA PROGRAM STUDI DOKTER SPESIALIS).</t>
  </si>
  <si>
    <t>Pada hari …tanggal ...2014 telah dilaksanakan asesmen lapangan untuk akreditasi Program Studi ..., Jurusan …, Fakultas …,Universitas/Institut/Sekolah Tinggi …</t>
  </si>
  <si>
    <t xml:space="preserve">Pada hari …tanggal ...2014 telah dilaksanakan asesmen lapangan untuk akreditasi Program Studi ..., Jurusan …, Fakultas …,Universitas/Institut/Sekolah Tinggi ...  </t>
  </si>
  <si>
    <t>Standar 3. Peserta Didik dan Lulusan</t>
  </si>
  <si>
    <t>Standar 7. Penelitian, Pengabdian kepada Masyarakat, dan Kerjasama</t>
  </si>
  <si>
    <t>Strategi pencapaian didasarkan pada hasil evaluasi-diri dan tidak mampu laksana.</t>
  </si>
  <si>
    <t>Strategi pencapaian didasarkan pada hasil evaluasi-diri dan sebagian  mampu laksana.</t>
  </si>
  <si>
    <t>Strategi pencapaian didasarkan pada hasil evaluasi-diri dan sebagian besar mampu laksana.</t>
  </si>
  <si>
    <t>Tidak dipahami oleh sivitas akademika dan tenaga kependidikan.</t>
  </si>
  <si>
    <t>Adanya dokumen, data dan informasi yang sahih dan andal bahwa seluruh unsur tata pamong menjamin penyelenggaraan perguruan tinggi yang memenuhi 1-2 dari lima aspek tata pamong.</t>
  </si>
  <si>
    <t>Adanya dokumen, data dan informasi yang sahih dan andal bahwa seluruh unsur tata pamong menjamin penyelenggaraan perguruan tinggi yang memenuhi tiga dari lima aspek tata pamong.</t>
  </si>
  <si>
    <t>Adanya dokumen, data dan informasi yang sahih dan andal bahwa seluruh unsur tata pamong menjamin penyelenggaraan perguruan tinggi yang memenuhi empat dari lima aspek tata pamong.</t>
  </si>
  <si>
    <t>Adanya dokumen, data dan informasi yang sahih dan andal bahwa seluruh unsur tata pamong menjamin penyelenggaraan perguruan tinggi yang memenuhi lima aspek tata pamong.</t>
  </si>
  <si>
    <t>Pelaksanaan penjaminan mutu program studi. 
Pelaksanaannya antara lain ditandai dengan adanya: kebijakan, sistem, dan pelaksanaan penjaminan mutu pada program studi kedokteran.</t>
  </si>
  <si>
    <t>Pelaksanaan penjaminan mutu program studi. Pelaksanaannya antara lain ditandai dengan adanya: kebijakan, sistem, dan pelaksanaan penjaminan mutu pada program studi kedokteran.</t>
  </si>
  <si>
    <t>Sistem pengelolaan fungsional dan operasional program studi dilakukan hanya sebagian sesuai dengan SOP/buku pedoman/katalog dan dokumen sebagian lengkap.</t>
  </si>
  <si>
    <t>Sistem pengelolaan fungsional dan operasional program studi dilakukan dengan cukup baik, sesuai dengan SOP/buku pedoman/katalog, dan dokumen sebagian besar lengkap.</t>
  </si>
  <si>
    <t>Ada pedoman tertulis yang lengkap; dan ada bukti sebagian dilaksanakan secara konsisten.</t>
  </si>
  <si>
    <t>Ada pedoman tertulis yang lengkap; dan ada bukti sebagian besar dilaksanakan secara konsisten.</t>
  </si>
  <si>
    <t>Total peserta didik (d)</t>
  </si>
  <si>
    <t>Total peserta didik baru (c)</t>
  </si>
  <si>
    <t>Persentase = (b/a) x 100%</t>
  </si>
  <si>
    <r>
      <t xml:space="preserve">Layanan program studi kepada peserta didik untuk membina dan mengembangkan penalaran, minat, bakat, seni, dan kesejahteraan, mencakup layanan:
1. Bimbingan dan konseling
2. Pembinaan </t>
    </r>
    <r>
      <rPr>
        <i/>
        <sz val="10"/>
        <color theme="1"/>
        <rFont val="Arial"/>
        <family val="2"/>
      </rPr>
      <t>soft skills</t>
    </r>
  </si>
  <si>
    <t>Rasio peserta didik terhadap dosen yang bidang keahliannya sesuai dengan bidang PS.
Catatan:
Data total peserta didik dapat dilihat pada Tabel 3.2.1 baris S, yaitu: (d).
Dosen di RS Pendidikan Utama/RS Pendidikan Afiliasi dan Satelit yang bidang keahliannya sesuai dengan bidang PS. Data diperoleh dari Tabel 4.3.1.</t>
  </si>
  <si>
    <r>
      <t>Pembicara tamu (</t>
    </r>
    <r>
      <rPr>
        <i/>
        <sz val="10"/>
        <color theme="1"/>
        <rFont val="Arial"/>
        <family val="2"/>
      </rPr>
      <t>invited speaker</t>
    </r>
    <r>
      <rPr>
        <sz val="10"/>
        <color theme="1"/>
        <rFont val="Arial"/>
        <family val="2"/>
      </rPr>
      <t>) pada pertemuan ilmiah dokter spesialis dan dokter gigi spesialis internasional.</t>
    </r>
  </si>
  <si>
    <r>
      <t>Pembicara tamu (</t>
    </r>
    <r>
      <rPr>
        <i/>
        <sz val="10"/>
        <color theme="1"/>
        <rFont val="Arial"/>
        <family val="2"/>
      </rPr>
      <t>invited speaker</t>
    </r>
    <r>
      <rPr>
        <sz val="10"/>
        <color theme="1"/>
        <rFont val="Arial"/>
        <family val="2"/>
      </rPr>
      <t>) pada pertemuan ilmiah dokter spesialis dan dokter gigi spesialis nasional.</t>
    </r>
  </si>
  <si>
    <r>
      <t>Penyaji makalah (</t>
    </r>
    <r>
      <rPr>
        <i/>
        <sz val="10"/>
        <color theme="1"/>
        <rFont val="Arial"/>
        <family val="2"/>
      </rPr>
      <t>free paper/poster presentation</t>
    </r>
    <r>
      <rPr>
        <sz val="10"/>
        <color theme="1"/>
        <rFont val="Arial"/>
        <family val="2"/>
      </rPr>
      <t>) pada pertemuan dokter spesialis dan dokter gigi spesialis.</t>
    </r>
  </si>
  <si>
    <t>Penyaji makalah pada pertemuan ilmiah dokter spesialis dan dokter gigi spesialis nasional.</t>
  </si>
  <si>
    <t>Penyaji makalah pada pertemuan ilmiah kedokteran non dokter spesialis dan dokter gigi spesialis.</t>
  </si>
  <si>
    <t>Penyaji makalah pada seminar populer tentang kesehatan dokter spesialis dan dokter gigi spesialis.</t>
  </si>
  <si>
    <t>Kompetensi pendukung dan kompetensi lainnya sebagian mendukung terwujudnya visi dan terlaksananya misi.</t>
  </si>
  <si>
    <t>Kompetensi pendukung dan kompetensi lainnya sebagian besar mendukung terwujudnya visi dan terlaksananya misi.</t>
  </si>
  <si>
    <t xml:space="preserve">Jumlah mata kuliah/modul/logbook yang ditinjau satu tahun terakhir.
Catatan: 
Periksa ada atau tidak ada perubahan dan alasannya.
</t>
  </si>
  <si>
    <t>Ada proses monev dan tindak lanjut, namun dokumen pendukung kurang.</t>
  </si>
  <si>
    <r>
      <t xml:space="preserve">Kompetensi umum (etika, komunikasi, </t>
    </r>
    <r>
      <rPr>
        <i/>
        <sz val="10"/>
        <color theme="1"/>
        <rFont val="Arial"/>
        <family val="2"/>
      </rPr>
      <t>patient safety</t>
    </r>
    <r>
      <rPr>
        <sz val="10"/>
        <color theme="1"/>
        <rFont val="Arial"/>
        <family val="2"/>
      </rPr>
      <t xml:space="preserve">, kerjasama tim dari catatan KPS dan penasehat akademik PS).
</t>
    </r>
  </si>
  <si>
    <r>
      <t xml:space="preserve">Kompetensi umum (etika, komunikasi, </t>
    </r>
    <r>
      <rPr>
        <i/>
        <sz val="10"/>
        <rFont val="Arial"/>
        <family val="2"/>
      </rPr>
      <t>patient safety</t>
    </r>
    <r>
      <rPr>
        <sz val="10"/>
        <rFont val="Arial"/>
        <family val="2"/>
      </rPr>
      <t>, kerjasama tim dari catatan KPS dan penasehat akademik PS).</t>
    </r>
  </si>
  <si>
    <t>Proses pembelajaran.</t>
  </si>
  <si>
    <t>Proses pembelajaran: …</t>
  </si>
  <si>
    <r>
      <t xml:space="preserve">Kegiatan belajar meliputi seperti laporan jaga, presentasi kasus, </t>
    </r>
    <r>
      <rPr>
        <i/>
        <sz val="10"/>
        <color theme="1"/>
        <rFont val="Arial"/>
        <family val="2"/>
      </rPr>
      <t>ward rounds (visite),bedside teaching, skills lab</t>
    </r>
    <r>
      <rPr>
        <sz val="10"/>
        <color theme="1"/>
        <rFont val="Arial"/>
        <family val="2"/>
      </rPr>
      <t xml:space="preserve">, bimbingan operasi/tindakan, </t>
    </r>
    <r>
      <rPr>
        <i/>
        <sz val="10"/>
        <color theme="1"/>
        <rFont val="Arial"/>
        <family val="2"/>
      </rPr>
      <t>journal reading</t>
    </r>
    <r>
      <rPr>
        <sz val="10"/>
        <color theme="1"/>
        <rFont val="Arial"/>
        <family val="2"/>
      </rPr>
      <t>, kuliah tamu, telah dilakukan dengan baik sesuai kurikulum.</t>
    </r>
  </si>
  <si>
    <t>Ada panduan tertulis dan disosialisasikan dengan baik, dan sebagian dilaksanakan secara konsisten.</t>
  </si>
  <si>
    <t>Ada panduan tertulis dan disosialisasikan dengan baik, dan sebagian besar dilaksanakan secara konsisten.</t>
  </si>
  <si>
    <t xml:space="preserve">Pada hari …tanggal ...2014 telah dilaksanakan asesmen lapangan untuk akreditasi Program Studi ..., Jurusan …, Fakultas …,Universitas/Institut/Sekolah Tinggi ………………………………..  </t>
  </si>
  <si>
    <t>Berdasarkan hasil asesmen lapangan, penilaian untuk setiap butir, dasar penilaian, dan rekomendasi pembinaan disajikan pada tabel berikut.</t>
  </si>
  <si>
    <t xml:space="preserve">Pelayanan institusi. Data persentase morbiditas dan mortalitas pada satu tahun terakhir. </t>
  </si>
  <si>
    <t>Persentase morbiditas dan mortalitas dalam satu tahun terakhir</t>
  </si>
  <si>
    <r>
      <t>SP = (4 N</t>
    </r>
    <r>
      <rPr>
        <vertAlign val="subscript"/>
        <sz val="10"/>
        <color theme="1"/>
        <rFont val="Arial"/>
        <family val="2"/>
      </rPr>
      <t>A</t>
    </r>
    <r>
      <rPr>
        <sz val="10"/>
        <color theme="1"/>
        <rFont val="Arial"/>
        <family val="2"/>
      </rPr>
      <t xml:space="preserve"> + 3 N</t>
    </r>
    <r>
      <rPr>
        <vertAlign val="subscript"/>
        <sz val="10"/>
        <color theme="1"/>
        <rFont val="Arial"/>
        <family val="2"/>
      </rPr>
      <t>B</t>
    </r>
    <r>
      <rPr>
        <sz val="10"/>
        <color theme="1"/>
        <rFont val="Arial"/>
        <family val="2"/>
      </rPr>
      <t xml:space="preserve"> + 3 N</t>
    </r>
    <r>
      <rPr>
        <vertAlign val="subscript"/>
        <sz val="10"/>
        <color theme="1"/>
        <rFont val="Arial"/>
        <family val="2"/>
      </rPr>
      <t>C</t>
    </r>
    <r>
      <rPr>
        <sz val="10"/>
        <color theme="1"/>
        <rFont val="Arial"/>
        <family val="2"/>
      </rPr>
      <t xml:space="preserve"> + 2 N</t>
    </r>
    <r>
      <rPr>
        <vertAlign val="subscript"/>
        <sz val="10"/>
        <color theme="1"/>
        <rFont val="Arial"/>
        <family val="2"/>
      </rPr>
      <t>D</t>
    </r>
    <r>
      <rPr>
        <sz val="10"/>
        <color theme="1"/>
        <rFont val="Arial"/>
        <family val="2"/>
      </rPr>
      <t xml:space="preserve"> + 2 N</t>
    </r>
    <r>
      <rPr>
        <vertAlign val="subscript"/>
        <sz val="10"/>
        <color theme="1"/>
        <rFont val="Arial"/>
        <family val="2"/>
      </rPr>
      <t>E</t>
    </r>
    <r>
      <rPr>
        <sz val="10"/>
        <color theme="1"/>
        <rFont val="Arial"/>
        <family val="2"/>
      </rPr>
      <t xml:space="preserve"> + N</t>
    </r>
    <r>
      <rPr>
        <vertAlign val="subscript"/>
        <sz val="10"/>
        <color theme="1"/>
        <rFont val="Arial"/>
        <family val="2"/>
      </rPr>
      <t>F</t>
    </r>
    <r>
      <rPr>
        <sz val="10"/>
        <color theme="1"/>
        <rFont val="Arial"/>
        <family val="2"/>
      </rPr>
      <t>)/N</t>
    </r>
    <r>
      <rPr>
        <vertAlign val="subscript"/>
        <sz val="10"/>
        <color theme="1"/>
        <rFont val="Arial"/>
        <family val="2"/>
      </rPr>
      <t>DT</t>
    </r>
  </si>
  <si>
    <t>Prosedur pencapaian kompetensi dasar ilmu bedah anak lulusan program studi.</t>
  </si>
  <si>
    <t>Prosedur pencapaian kompetensi dasar ilmu bedah anak: …</t>
  </si>
  <si>
    <r>
      <t xml:space="preserve">Rata-rata pencapaian </t>
    </r>
    <r>
      <rPr>
        <i/>
        <sz val="10"/>
        <color theme="1"/>
        <rFont val="Arial"/>
        <family val="2"/>
      </rPr>
      <t>Biopsi Limfadenopati colli</t>
    </r>
  </si>
  <si>
    <r>
      <t xml:space="preserve">Rata-rata pencapaian </t>
    </r>
    <r>
      <rPr>
        <i/>
        <sz val="10"/>
        <color theme="1"/>
        <rFont val="Arial"/>
        <family val="2"/>
      </rPr>
      <t>Insersi thorax tube pada pneumothorax</t>
    </r>
  </si>
  <si>
    <r>
      <t xml:space="preserve">Rata-rata pencapaian </t>
    </r>
    <r>
      <rPr>
        <i/>
        <sz val="10"/>
        <color theme="1"/>
        <rFont val="Arial"/>
        <family val="2"/>
      </rPr>
      <t>Polypectomy pada polip recti</t>
    </r>
  </si>
  <si>
    <r>
      <t xml:space="preserve">Rata-rata pencapaian </t>
    </r>
    <r>
      <rPr>
        <i/>
        <sz val="10"/>
        <color theme="1"/>
        <rFont val="Arial"/>
        <family val="2"/>
      </rPr>
      <t>Herniotomy pada Hernia Inguinalis</t>
    </r>
  </si>
  <si>
    <r>
      <t xml:space="preserve">Rata-rata pencapaian </t>
    </r>
    <r>
      <rPr>
        <i/>
        <sz val="10"/>
        <color theme="1"/>
        <rFont val="Arial"/>
        <family val="2"/>
      </rPr>
      <t>Hernioplasty pada Hernia Umbilikalis</t>
    </r>
  </si>
  <si>
    <r>
      <t xml:space="preserve">Rata-rata pencapaian </t>
    </r>
    <r>
      <rPr>
        <i/>
        <sz val="10"/>
        <color theme="1"/>
        <rFont val="Arial"/>
        <family val="2"/>
      </rPr>
      <t>Appendectomy</t>
    </r>
  </si>
  <si>
    <r>
      <t xml:space="preserve">Rata-rata pencapaian </t>
    </r>
    <r>
      <rPr>
        <i/>
        <sz val="10"/>
        <color theme="1"/>
        <rFont val="Arial"/>
        <family val="2"/>
      </rPr>
      <t>Ligasi tinggi pada hidrokel</t>
    </r>
  </si>
  <si>
    <r>
      <t xml:space="preserve">Rata-rata pencapaian </t>
    </r>
    <r>
      <rPr>
        <i/>
        <sz val="10"/>
        <color theme="1"/>
        <rFont val="Arial"/>
        <family val="2"/>
      </rPr>
      <t xml:space="preserve">Circumsisi </t>
    </r>
  </si>
  <si>
    <t>Prosedur pencapaian kompetensi lanjut ilmu bedah anak lulusan program studi.</t>
  </si>
  <si>
    <t>Prosedur pencapaian kompetensi lanjut ilmu bedah anak: …</t>
  </si>
  <si>
    <t xml:space="preserve">Prosedur pencapaian kompetensi ilmu bedah anak lanjut I.
</t>
  </si>
  <si>
    <r>
      <t xml:space="preserve">Rata-rata pencapaian </t>
    </r>
    <r>
      <rPr>
        <i/>
        <sz val="10"/>
        <color theme="1"/>
        <rFont val="Arial"/>
        <family val="2"/>
      </rPr>
      <t>Excisi Kista ductus thyreoglossus</t>
    </r>
  </si>
  <si>
    <r>
      <t xml:space="preserve">Rata-rata pencapaian </t>
    </r>
    <r>
      <rPr>
        <i/>
        <sz val="10"/>
        <color theme="1"/>
        <rFont val="Arial"/>
        <family val="2"/>
      </rPr>
      <t>Excisi Kista Branchiogenic</t>
    </r>
  </si>
  <si>
    <r>
      <t xml:space="preserve">Rata-rata pencapaian </t>
    </r>
    <r>
      <rPr>
        <i/>
        <sz val="10"/>
        <color theme="1"/>
        <rFont val="Arial"/>
        <family val="2"/>
      </rPr>
      <t>Excisi Higroma colli</t>
    </r>
  </si>
  <si>
    <r>
      <t xml:space="preserve">Rata-rata pencapaian </t>
    </r>
    <r>
      <rPr>
        <i/>
        <sz val="10"/>
        <color theme="1"/>
        <rFont val="Arial"/>
        <family val="2"/>
      </rPr>
      <t>Gastrostomi</t>
    </r>
  </si>
  <si>
    <r>
      <t xml:space="preserve">Rata-rata pencapaian </t>
    </r>
    <r>
      <rPr>
        <i/>
        <sz val="10"/>
        <color theme="1"/>
        <rFont val="Arial"/>
        <family val="2"/>
      </rPr>
      <t>Duodeno duodeno plasty</t>
    </r>
  </si>
  <si>
    <t>Rata-rata pencapaian Pembuatan stoma</t>
  </si>
  <si>
    <r>
      <t>Rata-rata pencapaian</t>
    </r>
    <r>
      <rPr>
        <i/>
        <sz val="10"/>
        <color theme="1"/>
        <rFont val="Arial"/>
        <family val="2"/>
      </rPr>
      <t xml:space="preserve"> ROUX en y pada eksisi kista ductus choledochus</t>
    </r>
  </si>
  <si>
    <r>
      <t xml:space="preserve">Rata-rata pencapaian </t>
    </r>
    <r>
      <rPr>
        <i/>
        <sz val="10"/>
        <color theme="1"/>
        <rFont val="Arial"/>
        <family val="2"/>
      </rPr>
      <t>Excisi Rhabdomyosarkoma</t>
    </r>
  </si>
  <si>
    <r>
      <t xml:space="preserve">Rata-rata pencapaian </t>
    </r>
    <r>
      <rPr>
        <i/>
        <sz val="10"/>
        <color theme="1"/>
        <rFont val="Arial"/>
        <family val="2"/>
      </rPr>
      <t>Excisi Hemangioma</t>
    </r>
  </si>
  <si>
    <r>
      <t xml:space="preserve">Rata-rata pencapaian </t>
    </r>
    <r>
      <rPr>
        <i/>
        <sz val="10"/>
        <color theme="1"/>
        <rFont val="Arial"/>
        <family val="2"/>
      </rPr>
      <t xml:space="preserve">Urethoplasty pada Hipospadias </t>
    </r>
  </si>
  <si>
    <r>
      <t xml:space="preserve">Rata-rata pencapaian </t>
    </r>
    <r>
      <rPr>
        <i/>
        <sz val="10"/>
        <color theme="1"/>
        <rFont val="Arial"/>
        <family val="2"/>
      </rPr>
      <t>Orchidopexy pada Undescended Testis</t>
    </r>
  </si>
  <si>
    <r>
      <t xml:space="preserve">Rata-rata pencapaian </t>
    </r>
    <r>
      <rPr>
        <i/>
        <sz val="10"/>
        <color theme="1"/>
        <rFont val="Arial"/>
        <family val="2"/>
      </rPr>
      <t>Excisi Sacro cocygeal tumor</t>
    </r>
  </si>
  <si>
    <t xml:space="preserve">Prosedur pencapaian kompetensi chief ilmu bedah anak lanjut II.
</t>
  </si>
  <si>
    <r>
      <t xml:space="preserve">Rata-rata pencapaian </t>
    </r>
    <r>
      <rPr>
        <i/>
        <sz val="10"/>
        <color theme="1"/>
        <rFont val="Arial"/>
        <family val="2"/>
      </rPr>
      <t>Repair Hernia Diafragmatika</t>
    </r>
  </si>
  <si>
    <r>
      <t xml:space="preserve">Rata-rata pencapaian </t>
    </r>
    <r>
      <rPr>
        <i/>
        <sz val="10"/>
        <color theme="1"/>
        <rFont val="Arial"/>
        <family val="2"/>
      </rPr>
      <t>Duhamel procedure pada Morbus Hirschsprung</t>
    </r>
  </si>
  <si>
    <r>
      <t>Rata-rata pencapaian</t>
    </r>
    <r>
      <rPr>
        <i/>
        <sz val="10"/>
        <color theme="1"/>
        <rFont val="Arial"/>
        <family val="2"/>
      </rPr>
      <t xml:space="preserve"> TAEPT pada Morbus Hirschsprung</t>
    </r>
  </si>
  <si>
    <t>Skor 12</t>
  </si>
  <si>
    <t>Skor 13</t>
  </si>
  <si>
    <t>Skor 14</t>
  </si>
  <si>
    <t>Skor 15</t>
  </si>
  <si>
    <t>Skor 16</t>
  </si>
  <si>
    <t>Skor 17</t>
  </si>
  <si>
    <t>Perubahan Nilai</t>
  </si>
  <si>
    <t>Perubahan Nilai Revalidasi</t>
  </si>
  <si>
    <t>Perubahan Nilai Hasil Majelis</t>
  </si>
  <si>
    <t>Perubahan Nilai Hasil Re-Validasi</t>
  </si>
  <si>
    <t>PENILAIAN AKREDITASI PROGRAM STUDI DOKTER SPESIALIS
(ASESMEN LAPANGAN YANG TELAH Di RE-VALIDASI)</t>
  </si>
  <si>
    <t>Komentar Validator 1</t>
  </si>
  <si>
    <t>Komentar Validator 2</t>
  </si>
  <si>
    <r>
      <t>Perubahan Nilai *</t>
    </r>
    <r>
      <rPr>
        <b/>
        <sz val="10"/>
        <color rgb="FF000000"/>
        <rFont val="Arial"/>
        <family val="2"/>
      </rPr>
      <t>Diisi oleh Majelis</t>
    </r>
  </si>
  <si>
    <t>Komentar Re-validasi</t>
  </si>
  <si>
    <r>
      <t>Perubahan Nilai Re-validasi *</t>
    </r>
    <r>
      <rPr>
        <sz val="12"/>
        <color rgb="FF000000"/>
        <rFont val="Arial"/>
        <family val="2"/>
      </rPr>
      <t>diisi oleh majelis</t>
    </r>
  </si>
  <si>
    <t>Nilai x Bobot (Skor Hasil Validasi)</t>
  </si>
  <si>
    <t>Nilai x Bobot (Skor Hasil Re-Validasi)</t>
  </si>
  <si>
    <t>Tanda Tangan validator 1</t>
  </si>
  <si>
    <t>Tanda Tangan validator 2</t>
  </si>
  <si>
    <t>1.</t>
  </si>
  <si>
    <t>.....................................</t>
  </si>
  <si>
    <t>2.</t>
  </si>
  <si>
    <t>...............................</t>
  </si>
  <si>
    <r>
      <t>Perubahan Nilai *</t>
    </r>
    <r>
      <rPr>
        <b/>
        <sz val="9"/>
        <color rgb="FF000000"/>
        <rFont val="Arial"/>
        <family val="2"/>
      </rPr>
      <t>diisi oleh majelis</t>
    </r>
  </si>
  <si>
    <r>
      <t>Perubahan Nilai Re-validasi *</t>
    </r>
    <r>
      <rPr>
        <sz val="11"/>
        <color rgb="FF000000"/>
        <rFont val="Arial"/>
        <family val="2"/>
      </rPr>
      <t>diisi oleh majelis</t>
    </r>
  </si>
  <si>
    <t>Tanda Tangan Validator 2</t>
  </si>
  <si>
    <t>..........................................</t>
  </si>
  <si>
    <t>...........................................</t>
  </si>
  <si>
    <t>....................................</t>
  </si>
  <si>
    <t>.......................................</t>
  </si>
  <si>
    <r>
      <t xml:space="preserve">Rata-rata pencapaian </t>
    </r>
    <r>
      <rPr>
        <i/>
        <sz val="10"/>
        <color theme="1"/>
        <rFont val="Arial"/>
        <family val="2"/>
      </rPr>
      <t>Reposisi torsio pada testis</t>
    </r>
  </si>
  <si>
    <r>
      <t xml:space="preserve">Rata-rata pencapaian </t>
    </r>
    <r>
      <rPr>
        <i/>
        <sz val="10"/>
        <color theme="1"/>
        <rFont val="Arial"/>
        <family val="2"/>
      </rPr>
      <t>Dilatasi synechia vulvae</t>
    </r>
  </si>
  <si>
    <r>
      <t>Rata-rata pencapaian</t>
    </r>
    <r>
      <rPr>
        <i/>
        <sz val="10"/>
        <color theme="1"/>
        <rFont val="Arial"/>
        <family val="2"/>
      </rPr>
      <t xml:space="preserve"> Hypertrophic Pyoric stenosis</t>
    </r>
  </si>
  <si>
    <r>
      <t xml:space="preserve">Rata-rata pencapaian </t>
    </r>
    <r>
      <rPr>
        <i/>
        <sz val="10"/>
        <color theme="1"/>
        <rFont val="Arial"/>
        <family val="2"/>
      </rPr>
      <t>Milking Invaginasi</t>
    </r>
  </si>
  <si>
    <t>Rata-rata pencapaian Gastroschizis – pembuatan silo</t>
  </si>
  <si>
    <t>Rata-rata pencapaian Streng ileus</t>
  </si>
  <si>
    <r>
      <t xml:space="preserve">Rata-rata pencapaian </t>
    </r>
    <r>
      <rPr>
        <i/>
        <sz val="10"/>
        <color theme="1"/>
        <rFont val="Arial"/>
        <family val="2"/>
      </rPr>
      <t>Laparatomy pada peritonitis ec trauma organ berongga</t>
    </r>
  </si>
  <si>
    <r>
      <t xml:space="preserve">Rata-rata pencapaian </t>
    </r>
    <r>
      <rPr>
        <i/>
        <sz val="10"/>
        <color theme="1"/>
        <rFont val="Arial"/>
        <family val="2"/>
      </rPr>
      <t>Penanganan thorakotomi dan anastomosis Atresia Esofagus</t>
    </r>
  </si>
  <si>
    <r>
      <t xml:space="preserve">Rata-rata pencapaian </t>
    </r>
    <r>
      <rPr>
        <i/>
        <sz val="10"/>
        <color theme="1"/>
        <rFont val="Arial"/>
        <family val="2"/>
      </rPr>
      <t>Nefrektomi pada tumor wilms</t>
    </r>
  </si>
  <si>
    <r>
      <t xml:space="preserve">Rata-rata pencapaian </t>
    </r>
    <r>
      <rPr>
        <i/>
        <sz val="10"/>
        <color theme="1"/>
        <rFont val="Arial"/>
        <family val="2"/>
      </rPr>
      <t>Eksisi neuroblastoma</t>
    </r>
  </si>
  <si>
    <r>
      <t xml:space="preserve">Rata-rata pencapaian </t>
    </r>
    <r>
      <rPr>
        <i/>
        <sz val="10"/>
        <color theme="1"/>
        <rFont val="Arial"/>
        <family val="2"/>
      </rPr>
      <t>Operasi kasai pada atresia bilier</t>
    </r>
  </si>
  <si>
    <t>Prosedur pencapaian kompetensi dasar Ilmu bedah anak lulusan PS</t>
  </si>
  <si>
    <t>Prosedur pencapaian kompetensi lanjut Ilmu bedah anak lulusan PS</t>
  </si>
  <si>
    <t>Etika
Etika profesionalisme Peserta didik Ilmu bedah anak adalah untuk menjadi dokter Spesialis Ilmu bedah anak yang baik dan bermanfaat bagi masyarakat.</t>
  </si>
  <si>
    <t>Skor pencapaian kompetensi Ilmu bedah anak lanjut I = (Skor 1 + Skor 2 + Skor 3 + Skor 4 + Skor 5 + Skor 6 + Skor 7 + Skor 8 + Skor 9 + Skor 10 + Skor 11 + Skor 12 + Skor 13 + Skor 14 + Skor 15 + Skor 16 + Skor 17)/17.</t>
  </si>
  <si>
    <t>Skor pencapaian kompetensi Ilmu bedah anak lanjut II = (Skor 1 + Skor 2 + Skor 3 + Skor 4 + Skor 5 + Skor 6 + Skor 7 + Skor 8)/8.</t>
  </si>
  <si>
    <t xml:space="preserve">Rasio calon peserta didik yang ikut seleksi : lulus seleksi = 40/10 = 4. </t>
  </si>
  <si>
    <t xml:space="preserve">Rasio peserta didik baru : total peserta didik = (15/70) = 000. </t>
  </si>
  <si>
    <t xml:space="preserve">Jumlah lulusan dengan IPK ≥ 3.75 = 40 orang.  </t>
  </si>
  <si>
    <t xml:space="preserve">Persentase kelulusan dokter spesialis tepat waktu = (35/60) x 100% = 58.33%. </t>
  </si>
  <si>
    <t xml:space="preserve">Ujian nasional dalam tiga tahun terakhir. Persentase kelulusan first-taker = (50/55) x 100% = 90.91%. </t>
  </si>
  <si>
    <t xml:space="preserve">PS memiliki program pendidikan konsultan. Jumlah subdivisi = 20. Jumlah dosen di RS Pendidikan yang berpendidikan Sp.K = 30 orang. Persentase dosen di RS Pendidikan yang perpendidikan Sp.K terhadap (jumlah subdivisi x 2) = 75.00%.  </t>
  </si>
  <si>
    <t xml:space="preserve">Persentase dosen yang memiliki sertifikasi pendidik = (25/40) x 100% = 62.50%. </t>
  </si>
  <si>
    <t xml:space="preserve">Rasio peserta didik terhadap dosen yang bidang keahliannya sesuai dengan bidang PS = (50/20) = 2.50. </t>
  </si>
  <si>
    <t xml:space="preserve">Belum ada lulusan. Jumlah dosen di RS Pendidikan: Sp.K = 6 orang.  </t>
  </si>
  <si>
    <t xml:space="preserve">Rata-rata beban kerja dosen di RS Pendidikan (Utama, Afiliasi dan Satelit) per tahun (dalam jam) = 1216 jam.  </t>
  </si>
  <si>
    <t xml:space="preserve">Persentase realisasi aktivitas dosen di RS Pendidikan (Utama, Afiliasi dan Satelit) dalam pendidikan terhadap jumlah aktivitas yang direncanakan = (95/100) x 100% = 95.00%. </t>
  </si>
  <si>
    <t xml:space="preserve">Banyaknya tenaga ahli/pakar sebagai pembicara dalam seminar/pelatihan, pembicara tamu, dsb, dari luar PT sendiri (tidak termasuk dosendi RS Pendidikan Afiliasi dan Satelit) = 13 orang.  </t>
  </si>
  <si>
    <t xml:space="preserve">Persentase dosen yang mengikuti tugas belajar jenjang S-3/Sp.K pada bidang keahlian yang sesuai dengan PS dalam kurun waktu tiga tahun terakhir = (95/100) x 100% = 95.00%. </t>
  </si>
  <si>
    <t xml:space="preserve">Kegiatan dosen PS dalam pertemuan ilmiah. NA = 10, NB = 7, NC = 9, ND = 15, NE = 20, NF = 25, NF = 25. Jumlah dosen PS (termasuk dosen di RS Pendidikan Utama, Afiliasi, dan Satelit) = 20 orang. </t>
  </si>
  <si>
    <t xml:space="preserve">Media publikasi karya ilmiah dosen PS. NA = 10, NB = 7, NC = 9, ND = 15, NE = 20, NF = 25, NF = 25. Jumlah dosen PS (termasuk dosen di RS Pendidikan Utama, Afiliasi, dan Satelit) = 20 orang. </t>
  </si>
  <si>
    <t xml:space="preserve">Persentase dosen yang menjadi anggota organisasi keilmuan atau organisasi profesi tingkat internasional = (90/100) x 100% = 90.00%. </t>
  </si>
  <si>
    <t>Prosedur pencapaian kompetensi dasar ANDROLOGI: …</t>
  </si>
  <si>
    <t>Prosedur pencapaian kompetensi lanjut ANDROLOGI: …</t>
  </si>
  <si>
    <t xml:space="preserve">Persentase banyaknya modul ditinjau tiga tahun terakhir = (40/50) x 100% = 80.00%. </t>
  </si>
  <si>
    <t xml:space="preserve">Persentase morbiditas dan mortalitas dalam satu tahun terakhir = (10/50) x 100% = 20.00%. </t>
  </si>
  <si>
    <t xml:space="preserve">Rata-rata peserta didik per dosen pembimbing karya tulis ilmiah  = (20/30)  = 0.67. </t>
  </si>
  <si>
    <t xml:space="preserve">Rata-rata jumlah bimbingan operasi/tindakan per tahun = 145 kali.  </t>
  </si>
  <si>
    <t xml:space="preserve">Total penerimaan dana = Rp 100 juta. Penerimaan dana dari mahasiswa = Rp 30 juta. Persentase perolehan dana dari mahasiswa dibandingkan dengan total penerimaan dana  = 30.00%. </t>
  </si>
  <si>
    <t xml:space="preserve">Penggunaan dana untuk operasional (pendidikan, penelitian, pengabdian kepada masyarakat)/ mahasiswa /tahun. Rata-rata dana operasional per mahasiswa per tahun = Rp 100 juta. </t>
  </si>
  <si>
    <t xml:space="preserve">Penggunaan dana penelitian tiga tahun terakhir. Rata-rata dana penelitian per dosen di RS Pendidikan (Utama, Afiliasi dan Satelit) per tahun = Rp 10.00 juta. </t>
  </si>
  <si>
    <t xml:space="preserve">Penggunaan dana pengabdian kepada masyarakat dalam tiga tahun terakhir. Rata-rata dana pengabdian kepada masyarakat per dosen di RS Pendidikan (Utama, Afiliasi dan Satelit) per tahun = Rp 11.11 juta. </t>
  </si>
  <si>
    <t xml:space="preserve">Jumlah judul buku teks yang relevan  = 20 judul.  </t>
  </si>
  <si>
    <t xml:space="preserve">Jumlah judul majalah profesi internasional = 20 judul.  </t>
  </si>
  <si>
    <t xml:space="preserve">Jumlah judul majalah profesi nasional = 20 judul.  </t>
  </si>
  <si>
    <t xml:space="preserve">Jumlah judul video/interactive materials = 30 judul.  </t>
  </si>
  <si>
    <t xml:space="preserve">Persentase dosen yang memiliki agenda penelitian sesuai dengan bidang studi dan semua penelitian sesuai dengan agenda. = Rp 83.33%. </t>
  </si>
  <si>
    <t xml:space="preserve">Banyaknya dosen di RS Pendidikan = 30 orang. Jumlah keterlibatan dosen di RS Pendidikan dalam publikasi tingkat internasional = 30.00 kali. Jumlah keterlibatan dosen di RS Pendidikan dalam publikasi tingkat nasional = 40.00 kali. Jumlah keterlibatan dosen di RS Pendidikan dalam publikasi tingkat lokal/universitas = 40.00 kali.  </t>
  </si>
  <si>
    <t xml:space="preserve">Keterlibatan mahasiswa dalam kegiatan penelitian dosen.  Rasio jumlah mahasiswa yang terlibat dalam penelitian dosen terhadap jumlah mahasiswa yang mengambil tugas akhir pada TS = 30.00%. </t>
  </si>
  <si>
    <t xml:space="preserve">Rasio keterlibatan dosen di RS Pendidikan (Utama, Afiliasi, dan Satelit) dalam kegiatan pengabdian kepada masyarakat. = 3.00. </t>
  </si>
  <si>
    <t xml:space="preserve">Rasio total mahasiswa baru transfer terhadap total mahasiswa baru keseluruhan = 7/100 = 0.07. </t>
  </si>
  <si>
    <t xml:space="preserve">Rata-rata persentase kelulusan tepat waktu = 80.00%. Rata-rata persentase lulusan dengan IPK ≥ 3.0 = 60.00%. </t>
  </si>
  <si>
    <t xml:space="preserve">Persentase dosen tetap berpendidikan minimal S-3/Sp. = (25/40) x 100% = 62.50%. </t>
  </si>
  <si>
    <t xml:space="preserve">Persentase dosen tetap yang memiliki jabatan minimal lektor kepala = (15/40) x 100% = 37.50%. </t>
  </si>
  <si>
    <t xml:space="preserve">Persentase dosen tetap yang memiliki jabatan guru besar = (10/40) x 100% = 25.00%. </t>
  </si>
  <si>
    <t xml:space="preserve">Total dana yang diperoleh dari mahasiswa dalam tiga tahun terakhir = Rp 30 juta. Total penerimaan dana dari berbagai sumber dalam tiga tahun terakhir = Rp 100 juta. Persentase dana fakultas yang berasal dari mahasiswa = 30.00%. </t>
  </si>
  <si>
    <t xml:space="preserve">Aksesibilitas data dalam sistem informasi. Ada 12 jenis data. Data yang dikelola dengan komputer yang terhubung jaringan luas (WAN) = 12 jenis. </t>
  </si>
  <si>
    <t>Pendidikan spesialis dan S-2.</t>
  </si>
  <si>
    <t>Pendidikan Spesialis konsultan dan S-2.</t>
  </si>
  <si>
    <t>Tidak ada skor 3</t>
  </si>
  <si>
    <t>Memiliki publikasi di jurnal nasional terakreditasi sebagai penulis utama</t>
  </si>
  <si>
    <t>Memiliki publikasi di jurnal internasional sebagai penulis utama atau anggota</t>
  </si>
  <si>
    <t>Jumlah lulusan dengan IPK 2.75 s.d. 3.00</t>
  </si>
  <si>
    <t>Jumlah lulusan dengan IPK 3.01 s.d. 3.49</t>
  </si>
  <si>
    <t>Jumlah lulusan dengan IPK ≥ 3.5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</si>
</sst>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58" x14ac:knownFonts="1">
    <font>
      <sz val="11"/>
      <color theme="1"/>
      <name val="Calibri"/>
      <family val="2"/>
      <scheme val="minor"/>
    </font>
    <font>
      <b/>
      <u/>
      <sz val="12"/>
      <color indexed="8"/>
      <name val="Arial"/>
      <family val="2"/>
    </font>
    <font>
      <sz val="10"/>
      <color indexed="8"/>
      <name val="Arial"/>
      <family val="2"/>
    </font>
    <font>
      <i/>
      <sz val="10"/>
      <color indexed="8"/>
      <name val="Arial"/>
      <family val="2"/>
    </font>
    <font>
      <sz val="12"/>
      <color indexed="8"/>
      <name val="Arial Narrow"/>
      <family val="2"/>
    </font>
    <font>
      <i/>
      <sz val="12"/>
      <color indexed="8"/>
      <name val="Arial Narrow"/>
      <family val="2"/>
    </font>
    <font>
      <vertAlign val="subscript"/>
      <sz val="10"/>
      <color indexed="8"/>
      <name val="Arial"/>
      <family val="2"/>
    </font>
    <font>
      <sz val="12"/>
      <color theme="1"/>
      <name val="Arial"/>
      <family val="2"/>
    </font>
    <font>
      <sz val="12"/>
      <color rgb="FF000000"/>
      <name val="Arial"/>
      <family val="2"/>
    </font>
    <font>
      <sz val="10"/>
      <color theme="1"/>
      <name val="Arial"/>
      <family val="2"/>
    </font>
    <font>
      <b/>
      <sz val="11"/>
      <color rgb="FF000000"/>
      <name val="Arial"/>
      <family val="2"/>
    </font>
    <font>
      <b/>
      <sz val="12"/>
      <color rgb="FF000000"/>
      <name val="Arial"/>
      <family val="2"/>
    </font>
    <font>
      <b/>
      <sz val="12"/>
      <color theme="1"/>
      <name val="Arial Narrow"/>
      <family val="2"/>
    </font>
    <font>
      <sz val="12"/>
      <color theme="1"/>
      <name val="Arial Narrow"/>
      <family val="2"/>
    </font>
    <font>
      <b/>
      <sz val="10"/>
      <color theme="1"/>
      <name val="Arial"/>
      <family val="2"/>
    </font>
    <font>
      <b/>
      <sz val="12"/>
      <color theme="1"/>
      <name val="Arial"/>
      <family val="2"/>
    </font>
    <font>
      <sz val="10"/>
      <color rgb="FF000000"/>
      <name val="Arial"/>
      <family val="2"/>
    </font>
    <font>
      <sz val="11"/>
      <color rgb="FF000000"/>
      <name val="Calibri"/>
      <family val="2"/>
      <scheme val="minor"/>
    </font>
    <font>
      <sz val="11"/>
      <color rgb="FF0D0D0D"/>
      <name val="Arial"/>
      <family val="2"/>
    </font>
    <font>
      <b/>
      <sz val="12"/>
      <color rgb="FF0D0D0D"/>
      <name val="Calibri"/>
      <family val="2"/>
    </font>
    <font>
      <b/>
      <sz val="11"/>
      <color theme="1"/>
      <name val="Calibri"/>
      <family val="2"/>
      <scheme val="minor"/>
    </font>
    <font>
      <b/>
      <sz val="14"/>
      <color theme="1"/>
      <name val="Calibri"/>
      <family val="2"/>
      <scheme val="minor"/>
    </font>
    <font>
      <sz val="11"/>
      <color rgb="FF000000"/>
      <name val="Arial"/>
      <family val="2"/>
    </font>
    <font>
      <sz val="14"/>
      <color theme="1"/>
      <name val="Calibri"/>
      <family val="2"/>
      <scheme val="minor"/>
    </font>
    <font>
      <u/>
      <sz val="14"/>
      <color theme="1"/>
      <name val="Calibri"/>
      <family val="2"/>
      <scheme val="minor"/>
    </font>
    <font>
      <sz val="16"/>
      <color theme="1"/>
      <name val="Calibri"/>
      <family val="2"/>
      <scheme val="minor"/>
    </font>
    <font>
      <sz val="16"/>
      <color theme="1"/>
      <name val="Arial"/>
      <family val="2"/>
    </font>
    <font>
      <u/>
      <sz val="12"/>
      <color rgb="FF000000"/>
      <name val="Arial"/>
      <family val="2"/>
    </font>
    <font>
      <b/>
      <sz val="9"/>
      <color rgb="FF000000"/>
      <name val="Arial"/>
      <family val="2"/>
    </font>
    <font>
      <b/>
      <sz val="14"/>
      <color theme="1"/>
      <name val="Arial"/>
      <family val="2"/>
    </font>
    <font>
      <sz val="10"/>
      <color rgb="FF0D0D0D"/>
      <name val="Arial"/>
      <family val="2"/>
    </font>
    <font>
      <sz val="14"/>
      <color theme="1"/>
      <name val="Arial"/>
      <family val="2"/>
    </font>
    <font>
      <sz val="11"/>
      <color theme="1"/>
      <name val="Arial"/>
      <family val="2"/>
    </font>
    <font>
      <sz val="10"/>
      <color rgb="FFFF0000"/>
      <name val="Arial"/>
      <family val="2"/>
    </font>
    <font>
      <sz val="12"/>
      <color theme="1"/>
      <name val="Calibri"/>
      <family val="2"/>
      <scheme val="minor"/>
    </font>
    <font>
      <b/>
      <sz val="20"/>
      <color rgb="FF002060"/>
      <name val="Calibri"/>
      <family val="2"/>
      <scheme val="minor"/>
    </font>
    <font>
      <sz val="10"/>
      <name val="Arial"/>
      <family val="2"/>
    </font>
    <font>
      <i/>
      <sz val="10"/>
      <name val="Arial"/>
      <family val="2"/>
    </font>
    <font>
      <i/>
      <sz val="10"/>
      <color theme="1"/>
      <name val="Arial"/>
      <family val="2"/>
    </font>
    <font>
      <vertAlign val="subscript"/>
      <sz val="10"/>
      <color theme="1"/>
      <name val="Arial"/>
      <family val="2"/>
    </font>
    <font>
      <sz val="10"/>
      <name val="Calibri"/>
      <family val="2"/>
    </font>
    <font>
      <sz val="11"/>
      <color theme="1"/>
      <name val="Calibri"/>
      <family val="2"/>
      <scheme val="minor"/>
    </font>
    <font>
      <b/>
      <sz val="11"/>
      <color theme="1"/>
      <name val="Arial"/>
      <family val="2"/>
    </font>
    <font>
      <sz val="10"/>
      <color theme="1"/>
      <name val="Calibri"/>
      <family val="2"/>
      <scheme val="minor"/>
    </font>
    <font>
      <i/>
      <sz val="10"/>
      <color rgb="FF000000"/>
      <name val="Arial"/>
      <family val="2"/>
    </font>
    <font>
      <u/>
      <sz val="11"/>
      <color theme="1"/>
      <name val="Arial"/>
      <family val="2"/>
    </font>
    <font>
      <sz val="11"/>
      <name val="Arial"/>
      <family val="2"/>
    </font>
    <font>
      <sz val="10"/>
      <color theme="1"/>
      <name val="Calibri"/>
      <family val="2"/>
    </font>
    <font>
      <b/>
      <sz val="10"/>
      <color theme="3"/>
      <name val="Arial"/>
      <family val="2"/>
    </font>
    <font>
      <sz val="10"/>
      <color theme="3"/>
      <name val="Arial"/>
      <family val="2"/>
    </font>
    <font>
      <b/>
      <sz val="12"/>
      <color theme="1"/>
      <name val="Calibri"/>
      <family val="2"/>
      <scheme val="minor"/>
    </font>
    <font>
      <u/>
      <sz val="11"/>
      <color theme="1"/>
      <name val="Calibri"/>
      <family val="2"/>
      <scheme val="minor"/>
    </font>
    <font>
      <b/>
      <sz val="18"/>
      <color theme="1"/>
      <name val="Calibri"/>
      <family val="2"/>
      <scheme val="minor"/>
    </font>
    <font>
      <sz val="11"/>
      <color rgb="FF006100"/>
      <name val="Calibri"/>
      <family val="2"/>
      <charset val="1"/>
      <scheme val="minor"/>
    </font>
    <font>
      <sz val="11"/>
      <name val="Calibri"/>
      <family val="2"/>
      <charset val="1"/>
      <scheme val="minor"/>
    </font>
    <font>
      <sz val="11"/>
      <color rgb="FF9C0006"/>
      <name val="Calibri"/>
      <family val="2"/>
      <charset val="1"/>
      <scheme val="minor"/>
    </font>
    <font>
      <sz val="11"/>
      <color rgb="FF9C6500"/>
      <name val="Calibri"/>
      <family val="2"/>
      <charset val="1"/>
      <scheme val="minor"/>
    </font>
    <font>
      <b/>
      <sz val="10"/>
      <color rgb="FF000000"/>
      <name val="Arial"/>
      <family val="2"/>
    </font>
  </fonts>
  <fills count="12">
    <fill>
      <patternFill patternType="none"/>
    </fill>
    <fill>
      <patternFill patternType="gray125"/>
    </fill>
    <fill>
      <patternFill patternType="darkUp">
        <bgColor rgb="FFB4B4B4"/>
      </patternFill>
    </fill>
    <fill>
      <patternFill patternType="solid">
        <fgColor rgb="FF00B0F0"/>
        <bgColor indexed="64"/>
      </patternFill>
    </fill>
    <fill>
      <patternFill patternType="solid">
        <fgColor rgb="FFFFFF0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92D050"/>
        <bgColor indexed="64"/>
      </patternFill>
    </fill>
    <fill>
      <patternFill patternType="gray0625">
        <bgColor rgb="FFB4B4B4"/>
      </patternFill>
    </fill>
    <fill>
      <patternFill patternType="solid">
        <fgColor rgb="FFC6EFCE"/>
      </patternFill>
    </fill>
    <fill>
      <patternFill patternType="solid">
        <fgColor rgb="FFFFC7CE"/>
      </patternFill>
    </fill>
    <fill>
      <patternFill patternType="solid">
        <fgColor rgb="FFFFEB9C"/>
      </patternFill>
    </fill>
  </fills>
  <borders count="61">
    <border>
      <left/>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s>
  <cellStyleXfs count="5">
    <xf numFmtId="0" fontId="0" fillId="0" borderId="0"/>
    <xf numFmtId="9" fontId="41" fillId="0" borderId="0" applyFont="0" applyFill="0" applyBorder="0" applyAlignment="0" applyProtection="0"/>
    <xf numFmtId="0" fontId="53" fillId="9" borderId="0" applyNumberFormat="0" applyBorder="0" applyAlignment="0" applyProtection="0"/>
    <xf numFmtId="0" fontId="55" fillId="10" borderId="0" applyNumberFormat="0" applyBorder="0" applyAlignment="0" applyProtection="0"/>
    <xf numFmtId="0" fontId="56" fillId="11" borderId="0" applyNumberFormat="0" applyBorder="0" applyAlignment="0" applyProtection="0"/>
  </cellStyleXfs>
  <cellXfs count="895">
    <xf numFmtId="0" fontId="0" fillId="0" borderId="0" xfId="0"/>
    <xf numFmtId="0" fontId="8" fillId="0" borderId="0" xfId="0" applyFont="1" applyAlignment="1">
      <alignment horizontal="justify"/>
    </xf>
    <xf numFmtId="0" fontId="0" fillId="0" borderId="0" xfId="0" applyAlignment="1">
      <alignment horizontal="center"/>
    </xf>
    <xf numFmtId="0" fontId="8" fillId="0" borderId="0" xfId="0" applyFont="1" applyAlignment="1">
      <alignment horizontal="center"/>
    </xf>
    <xf numFmtId="0" fontId="0" fillId="0" borderId="0" xfId="0" applyAlignment="1">
      <alignment wrapText="1"/>
    </xf>
    <xf numFmtId="0" fontId="0" fillId="0" borderId="0" xfId="0" applyAlignment="1">
      <alignment horizontal="center" vertical="center"/>
    </xf>
    <xf numFmtId="0" fontId="8" fillId="0" borderId="0" xfId="0" applyFont="1" applyBorder="1" applyAlignment="1">
      <alignment vertical="top" wrapText="1"/>
    </xf>
    <xf numFmtId="0" fontId="0" fillId="0" borderId="0" xfId="0" applyBorder="1" applyAlignment="1">
      <alignment horizontal="center"/>
    </xf>
    <xf numFmtId="0" fontId="0" fillId="0" borderId="0" xfId="0" applyBorder="1"/>
    <xf numFmtId="0" fontId="0" fillId="0" borderId="0" xfId="0" applyBorder="1" applyAlignment="1">
      <alignment horizontal="center" vertical="center"/>
    </xf>
    <xf numFmtId="0" fontId="9" fillId="0" borderId="0" xfId="0" applyFont="1" applyBorder="1" applyAlignment="1">
      <alignment horizontal="center" vertical="top" wrapText="1"/>
    </xf>
    <xf numFmtId="0" fontId="0" fillId="0" borderId="0" xfId="0" applyAlignment="1"/>
    <xf numFmtId="0" fontId="8" fillId="0" borderId="0" xfId="0" applyFont="1" applyAlignment="1">
      <alignment vertical="top" wrapText="1"/>
    </xf>
    <xf numFmtId="0" fontId="8" fillId="0" borderId="0" xfId="0" applyFont="1" applyBorder="1" applyAlignment="1">
      <alignment horizontal="center" vertical="top" wrapText="1"/>
    </xf>
    <xf numFmtId="0" fontId="8" fillId="0" borderId="0" xfId="0" applyFont="1" applyBorder="1" applyAlignment="1">
      <alignment horizontal="center" vertical="center" wrapText="1"/>
    </xf>
    <xf numFmtId="0" fontId="0" fillId="0" borderId="0" xfId="0"/>
    <xf numFmtId="0" fontId="8" fillId="0" borderId="0" xfId="0" applyFont="1" applyBorder="1" applyAlignment="1">
      <alignment horizontal="center"/>
    </xf>
    <xf numFmtId="0" fontId="0" fillId="0" borderId="0" xfId="0" applyAlignment="1">
      <alignment horizontal="left" vertical="center"/>
    </xf>
    <xf numFmtId="0" fontId="9" fillId="0" borderId="0" xfId="0" applyFont="1" applyBorder="1" applyAlignment="1">
      <alignment horizontal="left" vertical="center" wrapText="1"/>
    </xf>
    <xf numFmtId="0" fontId="0" fillId="0" borderId="0" xfId="0" applyBorder="1" applyAlignment="1">
      <alignment horizontal="left" vertical="center"/>
    </xf>
    <xf numFmtId="0" fontId="8" fillId="0" borderId="0" xfId="0" applyFont="1" applyBorder="1" applyAlignment="1">
      <alignment vertical="center" wrapText="1"/>
    </xf>
    <xf numFmtId="0" fontId="0" fillId="0" borderId="0" xfId="0" applyAlignment="1">
      <alignment vertical="top" wrapText="1"/>
    </xf>
    <xf numFmtId="0" fontId="17" fillId="0" borderId="0" xfId="0" applyFont="1" applyAlignment="1">
      <alignment horizontal="justify"/>
    </xf>
    <xf numFmtId="0" fontId="18" fillId="0" borderId="0" xfId="0" applyFont="1" applyAlignment="1">
      <alignment horizontal="left" indent="11"/>
    </xf>
    <xf numFmtId="0" fontId="19" fillId="0" borderId="0" xfId="0" applyFont="1" applyAlignment="1">
      <alignment horizontal="center"/>
    </xf>
    <xf numFmtId="0" fontId="8" fillId="0" borderId="0" xfId="0" applyFont="1" applyAlignment="1">
      <alignment vertical="center" wrapText="1"/>
    </xf>
    <xf numFmtId="0" fontId="15" fillId="0" borderId="0" xfId="0" applyFont="1" applyAlignment="1"/>
    <xf numFmtId="0" fontId="7" fillId="0" borderId="0" xfId="0" applyFont="1"/>
    <xf numFmtId="0" fontId="8" fillId="0" borderId="0" xfId="0" applyFont="1" applyAlignment="1"/>
    <xf numFmtId="0" fontId="22" fillId="0" borderId="0" xfId="0" applyFont="1" applyAlignment="1">
      <alignment horizontal="left"/>
    </xf>
    <xf numFmtId="0" fontId="0" fillId="0" borderId="0" xfId="0" applyProtection="1"/>
    <xf numFmtId="0" fontId="0" fillId="0" borderId="0" xfId="0" applyBorder="1" applyProtection="1"/>
    <xf numFmtId="0" fontId="0" fillId="0" borderId="0" xfId="0" applyAlignment="1" applyProtection="1">
      <alignment horizontal="center"/>
    </xf>
    <xf numFmtId="0" fontId="0" fillId="0" borderId="0" xfId="0" applyBorder="1" applyAlignment="1" applyProtection="1">
      <alignment horizontal="center"/>
    </xf>
    <xf numFmtId="0" fontId="24" fillId="0" borderId="0" xfId="0" applyFont="1" applyAlignment="1" applyProtection="1">
      <alignment horizontal="center"/>
    </xf>
    <xf numFmtId="0" fontId="25" fillId="0" borderId="0" xfId="0" applyFont="1" applyAlignment="1" applyProtection="1">
      <alignment horizontal="center"/>
      <protection locked="0"/>
    </xf>
    <xf numFmtId="0" fontId="25" fillId="0" borderId="0" xfId="0" applyFont="1" applyAlignment="1" applyProtection="1">
      <protection locked="0"/>
    </xf>
    <xf numFmtId="0" fontId="25" fillId="0" borderId="0" xfId="0" applyFont="1" applyProtection="1">
      <protection locked="0"/>
    </xf>
    <xf numFmtId="0" fontId="25" fillId="0" borderId="0" xfId="0" applyFont="1" applyAlignment="1" applyProtection="1">
      <alignment horizontal="center" vertical="center"/>
      <protection locked="0"/>
    </xf>
    <xf numFmtId="0" fontId="0" fillId="0" borderId="0" xfId="0" applyProtection="1">
      <protection locked="0"/>
    </xf>
    <xf numFmtId="0" fontId="26" fillId="0" borderId="0" xfId="0" applyFont="1" applyAlignment="1" applyProtection="1">
      <alignment horizontal="center"/>
      <protection locked="0"/>
    </xf>
    <xf numFmtId="0" fontId="27" fillId="0" borderId="0" xfId="0" applyFont="1" applyAlignment="1" applyProtection="1">
      <alignment horizontal="left"/>
      <protection locked="0"/>
    </xf>
    <xf numFmtId="0" fontId="0" fillId="0" borderId="0" xfId="0" applyAlignment="1" applyProtection="1">
      <alignment horizontal="center"/>
      <protection locked="0"/>
    </xf>
    <xf numFmtId="0" fontId="0" fillId="0" borderId="0" xfId="0" applyAlignment="1" applyProtection="1">
      <protection locked="0"/>
    </xf>
    <xf numFmtId="0" fontId="0" fillId="0" borderId="0" xfId="0" applyAlignment="1" applyProtection="1">
      <alignment horizontal="center" vertical="center"/>
      <protection locked="0"/>
    </xf>
    <xf numFmtId="0" fontId="8" fillId="0" borderId="0" xfId="0" applyFont="1" applyAlignment="1" applyProtection="1">
      <alignment wrapText="1"/>
      <protection locked="0"/>
    </xf>
    <xf numFmtId="0" fontId="8" fillId="0" borderId="0" xfId="0" applyFont="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8" fillId="0" borderId="0" xfId="0" applyFont="1" applyAlignment="1" applyProtection="1">
      <alignment horizontal="left"/>
      <protection locked="0"/>
    </xf>
    <xf numFmtId="0" fontId="8" fillId="0" borderId="0" xfId="0" applyFont="1" applyAlignment="1" applyProtection="1">
      <alignment vertical="center" wrapText="1"/>
      <protection locked="0"/>
    </xf>
    <xf numFmtId="0" fontId="7" fillId="0" borderId="0" xfId="0" applyFont="1" applyAlignment="1" applyProtection="1">
      <alignment horizontal="center"/>
      <protection locked="0"/>
    </xf>
    <xf numFmtId="0" fontId="11" fillId="0" borderId="0" xfId="0" applyFont="1" applyAlignment="1" applyProtection="1">
      <alignment horizontal="left"/>
      <protection locked="0"/>
    </xf>
    <xf numFmtId="0" fontId="8" fillId="0" borderId="0" xfId="0" applyFont="1" applyBorder="1" applyAlignment="1" applyProtection="1">
      <alignment horizontal="center" vertical="top" wrapText="1"/>
      <protection locked="0"/>
    </xf>
    <xf numFmtId="0" fontId="8" fillId="0" borderId="0" xfId="0" applyFont="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0" fillId="0" borderId="0" xfId="0" applyBorder="1" applyAlignment="1" applyProtection="1">
      <alignment horizontal="center" vertical="center"/>
      <protection locked="0"/>
    </xf>
    <xf numFmtId="0" fontId="8" fillId="0" borderId="0" xfId="0" applyFont="1" applyAlignment="1" applyProtection="1">
      <alignment vertical="top" wrapText="1"/>
      <protection locked="0"/>
    </xf>
    <xf numFmtId="0" fontId="8" fillId="0" borderId="0" xfId="0" applyFont="1" applyBorder="1" applyAlignment="1" applyProtection="1">
      <alignment horizontal="center" wrapText="1"/>
      <protection locked="0"/>
    </xf>
    <xf numFmtId="0" fontId="15" fillId="0" borderId="0" xfId="0" applyFont="1" applyAlignment="1" applyProtection="1">
      <protection locked="0"/>
    </xf>
    <xf numFmtId="0" fontId="0" fillId="0" borderId="0" xfId="0" applyAlignment="1" applyProtection="1">
      <alignment horizontal="left" vertical="center"/>
      <protection locked="0"/>
    </xf>
    <xf numFmtId="0" fontId="0" fillId="0" borderId="0" xfId="0" applyBorder="1" applyProtection="1">
      <protection locked="0"/>
    </xf>
    <xf numFmtId="0" fontId="0" fillId="0" borderId="0" xfId="0" applyAlignment="1" applyProtection="1">
      <alignment horizontal="center" vertical="center"/>
    </xf>
    <xf numFmtId="0" fontId="31" fillId="0" borderId="0" xfId="0" applyFont="1" applyAlignment="1">
      <alignment horizontal="center"/>
    </xf>
    <xf numFmtId="0" fontId="31" fillId="0" borderId="0" xfId="0" applyFont="1"/>
    <xf numFmtId="0" fontId="31" fillId="0" borderId="0" xfId="0" applyFont="1" applyAlignment="1" applyProtection="1">
      <alignment horizontal="center"/>
    </xf>
    <xf numFmtId="0" fontId="31" fillId="0" borderId="0" xfId="0" applyFont="1" applyProtection="1"/>
    <xf numFmtId="0" fontId="9" fillId="0" borderId="21" xfId="0" applyFont="1" applyBorder="1" applyProtection="1"/>
    <xf numFmtId="0" fontId="9" fillId="0" borderId="8" xfId="0" applyFont="1" applyBorder="1" applyProtection="1"/>
    <xf numFmtId="0" fontId="9" fillId="0" borderId="0" xfId="0" applyFont="1" applyAlignment="1" applyProtection="1">
      <alignment horizontal="left"/>
    </xf>
    <xf numFmtId="0" fontId="9" fillId="0" borderId="21" xfId="0" applyFont="1" applyFill="1" applyBorder="1" applyAlignment="1" applyProtection="1">
      <alignment horizontal="center" vertical="center"/>
    </xf>
    <xf numFmtId="0" fontId="9" fillId="0" borderId="0" xfId="0" applyFont="1" applyFill="1" applyBorder="1" applyAlignment="1" applyProtection="1">
      <alignment horizontal="left"/>
    </xf>
    <xf numFmtId="0" fontId="9" fillId="0" borderId="21" xfId="0" applyFont="1" applyBorder="1" applyAlignment="1" applyProtection="1">
      <alignment horizontal="center" vertical="center"/>
    </xf>
    <xf numFmtId="0" fontId="9" fillId="0" borderId="0" xfId="0" applyFont="1" applyProtection="1"/>
    <xf numFmtId="0" fontId="9" fillId="0" borderId="8" xfId="0" applyFont="1" applyBorder="1" applyAlignment="1" applyProtection="1">
      <alignment wrapText="1"/>
    </xf>
    <xf numFmtId="0" fontId="9" fillId="0" borderId="8" xfId="0" applyFont="1" applyBorder="1" applyAlignment="1" applyProtection="1">
      <alignment vertical="top" wrapText="1"/>
    </xf>
    <xf numFmtId="0" fontId="9" fillId="0" borderId="21" xfId="0" applyFont="1" applyFill="1" applyBorder="1" applyProtection="1"/>
    <xf numFmtId="0" fontId="9" fillId="0" borderId="23" xfId="0" applyFont="1" applyFill="1" applyBorder="1" applyProtection="1"/>
    <xf numFmtId="0" fontId="31" fillId="0" borderId="0" xfId="0" applyFont="1" applyAlignment="1" applyProtection="1">
      <alignment horizontal="center" vertical="center"/>
    </xf>
    <xf numFmtId="0" fontId="0" fillId="0" borderId="0" xfId="0" applyFill="1" applyBorder="1" applyAlignment="1" applyProtection="1">
      <alignment horizontal="center" vertical="center"/>
    </xf>
    <xf numFmtId="0" fontId="9" fillId="0" borderId="0" xfId="0" applyFont="1" applyBorder="1" applyAlignment="1" applyProtection="1">
      <alignment horizontal="left"/>
    </xf>
    <xf numFmtId="0" fontId="9" fillId="0" borderId="21" xfId="0" applyFont="1" applyFill="1" applyBorder="1" applyAlignment="1" applyProtection="1">
      <alignment horizontal="left"/>
    </xf>
    <xf numFmtId="0" fontId="9" fillId="0" borderId="8" xfId="0" applyFont="1" applyFill="1" applyBorder="1" applyAlignment="1" applyProtection="1">
      <alignment horizontal="left"/>
    </xf>
    <xf numFmtId="0" fontId="9" fillId="0" borderId="0" xfId="0" applyFont="1" applyBorder="1" applyAlignment="1" applyProtection="1">
      <alignment horizontal="center" vertical="top" wrapText="1"/>
      <protection locked="0"/>
    </xf>
    <xf numFmtId="0" fontId="9" fillId="0" borderId="0" xfId="0" applyFont="1" applyBorder="1" applyAlignment="1" applyProtection="1"/>
    <xf numFmtId="0" fontId="16" fillId="0" borderId="8" xfId="0" applyFont="1" applyBorder="1" applyAlignment="1" applyProtection="1">
      <alignment horizontal="left" vertical="top" wrapText="1"/>
      <protection locked="0"/>
    </xf>
    <xf numFmtId="0" fontId="16" fillId="0" borderId="24"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0" fillId="0" borderId="0" xfId="0" applyBorder="1" applyAlignment="1" applyProtection="1">
      <alignment horizontal="center" vertical="top"/>
    </xf>
    <xf numFmtId="0" fontId="0" fillId="0" borderId="0" xfId="0" applyAlignment="1" applyProtection="1">
      <protection locked="0"/>
    </xf>
    <xf numFmtId="0" fontId="22" fillId="0" borderId="0" xfId="0" applyFont="1" applyAlignment="1"/>
    <xf numFmtId="0" fontId="18" fillId="0" borderId="0" xfId="0" applyFont="1" applyAlignment="1"/>
    <xf numFmtId="0" fontId="8" fillId="0" borderId="0" xfId="0" applyFont="1" applyAlignment="1">
      <alignment vertical="top" wrapText="1"/>
    </xf>
    <xf numFmtId="0" fontId="11" fillId="0" borderId="0" xfId="0" applyFont="1" applyAlignment="1" applyProtection="1">
      <alignment horizontal="left" vertical="center" wrapText="1"/>
      <protection locked="0"/>
    </xf>
    <xf numFmtId="0" fontId="9" fillId="0" borderId="0" xfId="0" applyFont="1" applyAlignment="1" applyProtection="1">
      <alignment horizontal="left" vertical="top" wrapText="1"/>
    </xf>
    <xf numFmtId="0" fontId="8" fillId="0" borderId="0" xfId="0" applyFont="1" applyAlignment="1" applyProtection="1">
      <protection locked="0"/>
    </xf>
    <xf numFmtId="0" fontId="8" fillId="0" borderId="0" xfId="0" applyFont="1" applyBorder="1" applyAlignment="1" applyProtection="1">
      <alignment horizontal="left" vertical="top"/>
      <protection locked="0"/>
    </xf>
    <xf numFmtId="2" fontId="0" fillId="0" borderId="8" xfId="0" applyNumberFormat="1" applyBorder="1" applyAlignment="1" applyProtection="1">
      <alignment horizontal="center"/>
    </xf>
    <xf numFmtId="2" fontId="8" fillId="0" borderId="0" xfId="0" applyNumberFormat="1" applyFont="1" applyBorder="1" applyAlignment="1" applyProtection="1">
      <alignment horizontal="center" vertical="center" wrapText="1"/>
      <protection locked="0"/>
    </xf>
    <xf numFmtId="0" fontId="8" fillId="0" borderId="0" xfId="0" applyFont="1" applyAlignment="1" applyProtection="1">
      <alignment horizontal="justify"/>
      <protection locked="0"/>
    </xf>
    <xf numFmtId="0" fontId="9" fillId="7" borderId="4" xfId="0" applyFont="1" applyFill="1" applyBorder="1" applyAlignment="1" applyProtection="1">
      <alignment horizontal="left" vertical="top" wrapText="1"/>
    </xf>
    <xf numFmtId="0" fontId="9" fillId="0" borderId="8" xfId="0" applyFont="1" applyBorder="1" applyAlignment="1" applyProtection="1">
      <alignment vertical="center" wrapText="1"/>
    </xf>
    <xf numFmtId="0" fontId="9" fillId="0" borderId="8" xfId="0" applyFont="1" applyBorder="1" applyAlignment="1" applyProtection="1">
      <alignment vertical="center"/>
    </xf>
    <xf numFmtId="0" fontId="0" fillId="0" borderId="21" xfId="0" applyBorder="1" applyAlignment="1">
      <alignment horizontal="center" vertical="center"/>
    </xf>
    <xf numFmtId="0" fontId="0" fillId="0" borderId="13" xfId="0" applyBorder="1" applyAlignment="1">
      <alignment horizontal="center" vertical="center"/>
    </xf>
    <xf numFmtId="0" fontId="0" fillId="0" borderId="23" xfId="0" applyBorder="1" applyAlignment="1">
      <alignment horizontal="center" vertical="center"/>
    </xf>
    <xf numFmtId="0" fontId="0" fillId="0" borderId="12" xfId="0" applyBorder="1" applyAlignment="1">
      <alignment horizontal="center" vertical="center"/>
    </xf>
    <xf numFmtId="0" fontId="8" fillId="0" borderId="13"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8" fillId="0" borderId="43" xfId="0" applyFont="1" applyBorder="1" applyAlignment="1" applyProtection="1">
      <alignment horizontal="left" vertical="top" wrapText="1"/>
      <protection locked="0"/>
    </xf>
    <xf numFmtId="0" fontId="8" fillId="0" borderId="16" xfId="0" applyFont="1" applyBorder="1" applyAlignment="1" applyProtection="1">
      <alignment horizontal="center" vertical="center" wrapText="1"/>
    </xf>
    <xf numFmtId="0" fontId="8" fillId="0" borderId="16" xfId="0" applyFont="1" applyBorder="1" applyAlignment="1" applyProtection="1">
      <alignment horizontal="center" vertical="center" wrapText="1"/>
      <protection locked="0"/>
    </xf>
    <xf numFmtId="0" fontId="8" fillId="0" borderId="24" xfId="0" quotePrefix="1" applyFont="1" applyBorder="1" applyAlignment="1" applyProtection="1">
      <alignment horizontal="center" vertical="center" wrapText="1"/>
    </xf>
    <xf numFmtId="0" fontId="10" fillId="0" borderId="15" xfId="0" applyFont="1" applyBorder="1" applyAlignment="1" applyProtection="1">
      <alignment horizontal="center" vertical="center" wrapText="1"/>
    </xf>
    <xf numFmtId="0" fontId="42" fillId="0" borderId="17" xfId="0" applyFont="1" applyBorder="1" applyAlignment="1" applyProtection="1">
      <alignment horizontal="center" vertical="center" wrapText="1"/>
    </xf>
    <xf numFmtId="0" fontId="8" fillId="0" borderId="0" xfId="0" applyFont="1" applyAlignment="1" applyProtection="1">
      <alignment horizontal="center"/>
      <protection locked="0"/>
    </xf>
    <xf numFmtId="0" fontId="16" fillId="0" borderId="10" xfId="0" applyFont="1" applyBorder="1" applyAlignment="1" applyProtection="1">
      <alignment horizontal="left" vertical="top" wrapText="1"/>
    </xf>
    <xf numFmtId="2" fontId="8" fillId="0" borderId="19" xfId="0" applyNumberFormat="1" applyFont="1" applyBorder="1" applyAlignment="1" applyProtection="1">
      <alignment horizontal="center" vertical="center" wrapText="1"/>
    </xf>
    <xf numFmtId="0" fontId="16" fillId="0" borderId="8" xfId="0" applyFont="1" applyBorder="1" applyAlignment="1" applyProtection="1">
      <alignment horizontal="left" vertical="top" wrapText="1"/>
    </xf>
    <xf numFmtId="2" fontId="8" fillId="0" borderId="13" xfId="0" applyNumberFormat="1" applyFont="1" applyBorder="1" applyAlignment="1" applyProtection="1">
      <alignment horizontal="center" vertical="center" wrapText="1"/>
    </xf>
    <xf numFmtId="2" fontId="8" fillId="0" borderId="13" xfId="0" applyNumberFormat="1" applyFont="1" applyFill="1" applyBorder="1" applyAlignment="1" applyProtection="1">
      <alignment horizontal="center" vertical="center" wrapText="1"/>
    </xf>
    <xf numFmtId="0" fontId="16" fillId="0" borderId="24" xfId="0" applyFont="1" applyBorder="1" applyAlignment="1" applyProtection="1">
      <alignment horizontal="left" vertical="top" wrapText="1"/>
    </xf>
    <xf numFmtId="2" fontId="8" fillId="0" borderId="12" xfId="0" applyNumberFormat="1" applyFont="1" applyFill="1" applyBorder="1" applyAlignment="1" applyProtection="1">
      <alignment horizontal="center" vertical="center" wrapText="1"/>
    </xf>
    <xf numFmtId="0" fontId="10" fillId="0" borderId="16" xfId="0" applyFont="1" applyBorder="1" applyAlignment="1" applyProtection="1">
      <alignment horizontal="center" wrapText="1"/>
    </xf>
    <xf numFmtId="0" fontId="10" fillId="0" borderId="16" xfId="0" applyFont="1" applyBorder="1" applyAlignment="1" applyProtection="1">
      <alignment horizontal="center" vertical="center" wrapText="1"/>
    </xf>
    <xf numFmtId="0" fontId="10" fillId="0" borderId="17"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16" fillId="0" borderId="14" xfId="0" applyFont="1" applyBorder="1" applyAlignment="1" applyProtection="1">
      <alignment horizontal="center" vertical="top" wrapText="1"/>
    </xf>
    <xf numFmtId="0" fontId="36" fillId="0" borderId="10" xfId="0" applyFont="1" applyBorder="1" applyAlignment="1" applyProtection="1">
      <alignment horizontal="left" vertical="top"/>
    </xf>
    <xf numFmtId="2" fontId="8" fillId="0" borderId="0" xfId="0" applyNumberFormat="1" applyFont="1" applyBorder="1" applyAlignment="1" applyProtection="1">
      <alignment horizontal="center" vertical="center" wrapText="1"/>
    </xf>
    <xf numFmtId="0" fontId="9" fillId="0" borderId="21" xfId="0" applyFont="1" applyBorder="1" applyAlignment="1" applyProtection="1">
      <alignment horizontal="center" vertical="top" wrapText="1"/>
    </xf>
    <xf numFmtId="0" fontId="36" fillId="0" borderId="8" xfId="0" applyFont="1" applyBorder="1" applyAlignment="1" applyProtection="1">
      <alignment horizontal="left" vertical="top"/>
    </xf>
    <xf numFmtId="0" fontId="0" fillId="0" borderId="8" xfId="0" applyBorder="1" applyAlignment="1" applyProtection="1">
      <alignment horizontal="left" vertical="top"/>
    </xf>
    <xf numFmtId="2" fontId="8" fillId="0" borderId="0" xfId="0" applyNumberFormat="1" applyFont="1" applyFill="1" applyBorder="1" applyAlignment="1" applyProtection="1">
      <alignment horizontal="center" vertical="center" wrapText="1"/>
    </xf>
    <xf numFmtId="0" fontId="0" fillId="0" borderId="8" xfId="0" applyFill="1" applyBorder="1" applyAlignment="1" applyProtection="1">
      <alignment horizontal="left" vertical="top"/>
    </xf>
    <xf numFmtId="0" fontId="36" fillId="0" borderId="8" xfId="0" applyFont="1" applyFill="1" applyBorder="1" applyAlignment="1" applyProtection="1">
      <alignment horizontal="left" vertical="top"/>
    </xf>
    <xf numFmtId="0" fontId="36" fillId="0" borderId="8" xfId="0" applyFont="1" applyBorder="1" applyAlignment="1" applyProtection="1">
      <alignment horizontal="left" vertical="top" wrapText="1"/>
    </xf>
    <xf numFmtId="0" fontId="36" fillId="0" borderId="8" xfId="0" applyFont="1" applyFill="1" applyBorder="1" applyAlignment="1" applyProtection="1">
      <alignment horizontal="left" vertical="top" wrapText="1"/>
    </xf>
    <xf numFmtId="2" fontId="8" fillId="0" borderId="37" xfId="0" applyNumberFormat="1" applyFont="1" applyFill="1" applyBorder="1" applyAlignment="1" applyProtection="1">
      <alignment horizontal="center" vertical="center" wrapText="1"/>
    </xf>
    <xf numFmtId="0" fontId="36" fillId="0" borderId="24" xfId="0" applyFont="1" applyBorder="1" applyAlignment="1" applyProtection="1">
      <alignment horizontal="left" vertical="top" wrapText="1"/>
    </xf>
    <xf numFmtId="0" fontId="8" fillId="0" borderId="0" xfId="0" applyFont="1" applyAlignment="1" applyProtection="1">
      <alignment horizontal="left"/>
    </xf>
    <xf numFmtId="0" fontId="0" fillId="0" borderId="0" xfId="0" applyAlignment="1" applyProtection="1"/>
    <xf numFmtId="2" fontId="0" fillId="0" borderId="0" xfId="0" applyNumberFormat="1" applyAlignment="1" applyProtection="1">
      <alignment horizontal="center" vertical="center"/>
    </xf>
    <xf numFmtId="0" fontId="8" fillId="0" borderId="23" xfId="0" quotePrefix="1" applyFont="1" applyBorder="1" applyAlignment="1" applyProtection="1">
      <alignment horizontal="center" vertical="center" wrapText="1"/>
    </xf>
    <xf numFmtId="0" fontId="11" fillId="0" borderId="14" xfId="0" applyFont="1" applyBorder="1" applyAlignment="1" applyProtection="1">
      <alignment horizontal="center" vertical="top" wrapText="1"/>
    </xf>
    <xf numFmtId="0" fontId="12" fillId="0" borderId="10" xfId="0" applyFont="1" applyBorder="1" applyAlignment="1" applyProtection="1">
      <alignment vertical="top" wrapText="1"/>
    </xf>
    <xf numFmtId="0" fontId="8" fillId="0" borderId="21" xfId="0" applyFont="1" applyBorder="1" applyAlignment="1" applyProtection="1">
      <alignment horizontal="center" vertical="top" wrapText="1"/>
    </xf>
    <xf numFmtId="0" fontId="13" fillId="0" borderId="8" xfId="0" applyFont="1" applyBorder="1" applyAlignment="1" applyProtection="1">
      <alignment vertical="top" wrapText="1"/>
    </xf>
    <xf numFmtId="0" fontId="11" fillId="0" borderId="21" xfId="0" applyFont="1" applyBorder="1" applyAlignment="1" applyProtection="1">
      <alignment horizontal="center" vertical="top" wrapText="1"/>
    </xf>
    <xf numFmtId="0" fontId="12" fillId="0" borderId="8" xfId="0" applyFont="1" applyBorder="1" applyAlignment="1" applyProtection="1">
      <alignment vertical="top" wrapText="1"/>
    </xf>
    <xf numFmtId="0" fontId="8" fillId="0" borderId="42" xfId="0" applyFont="1" applyBorder="1" applyAlignment="1" applyProtection="1">
      <alignment horizontal="center" vertical="top" wrapText="1"/>
    </xf>
    <xf numFmtId="0" fontId="13" fillId="0" borderId="9" xfId="0" applyFont="1" applyBorder="1" applyAlignment="1" applyProtection="1">
      <alignment vertical="top" wrapText="1"/>
    </xf>
    <xf numFmtId="0" fontId="8" fillId="0" borderId="0" xfId="0" applyFont="1" applyAlignment="1" applyProtection="1">
      <alignment horizontal="center" vertical="center"/>
    </xf>
    <xf numFmtId="0" fontId="0" fillId="0" borderId="0" xfId="0" applyBorder="1" applyAlignment="1" applyProtection="1">
      <alignment horizontal="left" vertical="center"/>
      <protection locked="0"/>
    </xf>
    <xf numFmtId="0" fontId="36" fillId="0" borderId="10" xfId="0" applyFont="1" applyBorder="1" applyAlignment="1" applyProtection="1">
      <alignment horizontal="left" vertical="top" wrapText="1"/>
    </xf>
    <xf numFmtId="2" fontId="8" fillId="0" borderId="19" xfId="0" applyNumberFormat="1" applyFont="1" applyFill="1" applyBorder="1" applyAlignment="1" applyProtection="1">
      <alignment horizontal="center" vertical="center" wrapText="1"/>
    </xf>
    <xf numFmtId="0" fontId="36" fillId="0" borderId="21" xfId="0" applyFont="1" applyBorder="1" applyAlignment="1" applyProtection="1">
      <alignment horizontal="center" vertical="top" wrapText="1"/>
    </xf>
    <xf numFmtId="0" fontId="30" fillId="0" borderId="8" xfId="0" applyFont="1" applyBorder="1" applyAlignment="1" applyProtection="1">
      <alignment horizontal="left" vertical="top" wrapText="1"/>
    </xf>
    <xf numFmtId="0" fontId="0" fillId="0" borderId="8" xfId="0" applyBorder="1" applyAlignment="1" applyProtection="1">
      <alignment horizontal="left" vertical="top" wrapText="1"/>
    </xf>
    <xf numFmtId="0" fontId="36" fillId="0" borderId="23" xfId="0" applyFont="1" applyBorder="1" applyAlignment="1" applyProtection="1">
      <alignment horizontal="center" vertical="top" wrapText="1"/>
    </xf>
    <xf numFmtId="0" fontId="9" fillId="0" borderId="24" xfId="0" applyFont="1" applyBorder="1" applyAlignment="1" applyProtection="1">
      <alignment horizontal="left" vertical="top" wrapText="1"/>
    </xf>
    <xf numFmtId="0" fontId="15" fillId="0" borderId="0" xfId="0" applyFont="1" applyAlignment="1" applyProtection="1">
      <alignment horizontal="left"/>
      <protection locked="0"/>
    </xf>
    <xf numFmtId="0" fontId="7" fillId="0" borderId="0" xfId="0" applyFont="1" applyAlignment="1" applyProtection="1">
      <protection locked="0"/>
    </xf>
    <xf numFmtId="0" fontId="7" fillId="0" borderId="0" xfId="0" applyFont="1" applyAlignment="1" applyProtection="1">
      <alignment horizontal="left"/>
      <protection locked="0"/>
    </xf>
    <xf numFmtId="0" fontId="8" fillId="0" borderId="10" xfId="0" applyFont="1" applyBorder="1" applyAlignment="1" applyProtection="1">
      <alignment horizontal="center" vertical="top" wrapText="1"/>
      <protection locked="0"/>
    </xf>
    <xf numFmtId="0" fontId="0" fillId="0" borderId="0" xfId="0" applyAlignment="1" applyProtection="1">
      <alignment horizontal="left"/>
      <protection locked="0"/>
    </xf>
    <xf numFmtId="0" fontId="7" fillId="0" borderId="0" xfId="0" applyFont="1" applyAlignment="1" applyProtection="1">
      <alignment horizontal="left" vertical="top"/>
      <protection locked="0"/>
    </xf>
    <xf numFmtId="0" fontId="8" fillId="0" borderId="0" xfId="0" applyFont="1" applyAlignment="1" applyProtection="1">
      <alignment vertical="center"/>
      <protection locked="0"/>
    </xf>
    <xf numFmtId="0" fontId="8" fillId="0" borderId="0" xfId="0" applyFont="1" applyAlignment="1" applyProtection="1">
      <alignment vertical="top"/>
      <protection locked="0"/>
    </xf>
    <xf numFmtId="0" fontId="7" fillId="0" borderId="0" xfId="0" applyFont="1" applyAlignment="1" applyProtection="1">
      <alignment horizontal="justify"/>
      <protection locked="0"/>
    </xf>
    <xf numFmtId="0" fontId="8" fillId="4" borderId="0" xfId="0" applyFont="1" applyFill="1" applyAlignment="1" applyProtection="1">
      <alignment horizontal="center" vertical="top"/>
      <protection locked="0"/>
    </xf>
    <xf numFmtId="0" fontId="8" fillId="0" borderId="0" xfId="0" applyFont="1" applyFill="1" applyAlignment="1" applyProtection="1">
      <alignment horizontal="center" vertical="top"/>
      <protection locked="0"/>
    </xf>
    <xf numFmtId="0" fontId="16" fillId="0" borderId="13"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7" fillId="0" borderId="0" xfId="0" applyFont="1" applyProtection="1">
      <protection locked="0"/>
    </xf>
    <xf numFmtId="0" fontId="0" fillId="0" borderId="0" xfId="0" applyAlignment="1" applyProtection="1">
      <alignment vertical="center"/>
      <protection locked="0"/>
    </xf>
    <xf numFmtId="0" fontId="8" fillId="2" borderId="19" xfId="0" applyFont="1" applyFill="1" applyBorder="1" applyAlignment="1" applyProtection="1">
      <alignment horizontal="justify" vertical="top" wrapText="1"/>
      <protection locked="0"/>
    </xf>
    <xf numFmtId="0" fontId="8" fillId="0" borderId="13" xfId="0" applyFont="1" applyBorder="1" applyAlignment="1" applyProtection="1">
      <alignment horizontal="justify" vertical="top" wrapText="1"/>
      <protection locked="0"/>
    </xf>
    <xf numFmtId="0" fontId="8" fillId="0" borderId="13" xfId="0" applyFont="1" applyBorder="1" applyAlignment="1" applyProtection="1">
      <alignment vertical="top" wrapText="1"/>
      <protection locked="0"/>
    </xf>
    <xf numFmtId="0" fontId="0" fillId="0" borderId="0" xfId="0" applyAlignment="1" applyProtection="1">
      <alignment vertical="top"/>
      <protection locked="0"/>
    </xf>
    <xf numFmtId="0" fontId="0" fillId="0" borderId="0" xfId="0" applyBorder="1" applyAlignment="1" applyProtection="1">
      <alignment vertical="center"/>
      <protection locked="0"/>
    </xf>
    <xf numFmtId="0" fontId="11" fillId="0" borderId="0" xfId="0" applyFont="1" applyBorder="1" applyAlignment="1" applyProtection="1">
      <alignment vertical="top" wrapText="1"/>
      <protection locked="0"/>
    </xf>
    <xf numFmtId="0" fontId="8" fillId="0" borderId="0" xfId="0" applyFont="1" applyBorder="1" applyAlignment="1" applyProtection="1">
      <alignment vertical="center" wrapText="1"/>
      <protection locked="0"/>
    </xf>
    <xf numFmtId="0" fontId="8" fillId="0" borderId="0" xfId="0" applyFont="1" applyBorder="1" applyAlignment="1" applyProtection="1">
      <alignment vertical="top" wrapText="1"/>
      <protection locked="0"/>
    </xf>
    <xf numFmtId="0" fontId="9" fillId="0" borderId="10" xfId="0" applyFont="1" applyBorder="1" applyAlignment="1" applyProtection="1">
      <alignment horizontal="center" vertical="top" wrapText="1"/>
    </xf>
    <xf numFmtId="0" fontId="16" fillId="0" borderId="44" xfId="0" applyFont="1" applyBorder="1" applyAlignment="1" applyProtection="1">
      <alignment horizontal="center" vertical="top" wrapText="1"/>
    </xf>
    <xf numFmtId="0" fontId="9" fillId="0" borderId="39" xfId="0" applyFont="1" applyBorder="1" applyAlignment="1" applyProtection="1">
      <alignment horizontal="center" vertical="top" wrapText="1"/>
    </xf>
    <xf numFmtId="0" fontId="16" fillId="0" borderId="39" xfId="0" applyFont="1" applyBorder="1" applyAlignment="1" applyProtection="1">
      <alignment horizontal="left" vertical="top" wrapText="1"/>
    </xf>
    <xf numFmtId="0" fontId="8" fillId="0" borderId="0" xfId="0" applyFont="1" applyProtection="1">
      <protection locked="0"/>
    </xf>
    <xf numFmtId="0" fontId="9" fillId="0" borderId="10" xfId="0" applyFont="1" applyBorder="1" applyAlignment="1" applyProtection="1">
      <alignment horizontal="left" vertical="top" wrapText="1"/>
    </xf>
    <xf numFmtId="0" fontId="16" fillId="0" borderId="21" xfId="0" applyFont="1" applyBorder="1" applyAlignment="1" applyProtection="1">
      <alignment horizontal="center" vertical="top" wrapText="1"/>
    </xf>
    <xf numFmtId="0" fontId="9" fillId="0" borderId="8" xfId="0" applyFont="1" applyBorder="1" applyAlignment="1" applyProtection="1">
      <alignment horizontal="center" vertical="top" wrapText="1"/>
    </xf>
    <xf numFmtId="0" fontId="16" fillId="0" borderId="23" xfId="0" applyFont="1" applyBorder="1" applyAlignment="1" applyProtection="1">
      <alignment horizontal="center" vertical="top" wrapText="1"/>
    </xf>
    <xf numFmtId="0" fontId="9" fillId="0" borderId="24" xfId="0" applyFont="1" applyBorder="1" applyAlignment="1" applyProtection="1">
      <alignment horizontal="center" vertical="top" wrapText="1"/>
    </xf>
    <xf numFmtId="0" fontId="43" fillId="0" borderId="12" xfId="0" applyFont="1" applyBorder="1" applyAlignment="1" applyProtection="1">
      <alignment horizontal="left" vertical="top"/>
      <protection locked="0"/>
    </xf>
    <xf numFmtId="0" fontId="43" fillId="0" borderId="24" xfId="0" applyFont="1" applyBorder="1" applyAlignment="1" applyProtection="1">
      <alignment horizontal="left" vertical="top"/>
      <protection locked="0"/>
    </xf>
    <xf numFmtId="0" fontId="36" fillId="0" borderId="21" xfId="0" applyFont="1" applyFill="1" applyBorder="1" applyAlignment="1" applyProtection="1">
      <alignment horizontal="center" vertical="top" wrapText="1"/>
    </xf>
    <xf numFmtId="0" fontId="16" fillId="0" borderId="8" xfId="0" applyFont="1" applyFill="1" applyBorder="1" applyAlignment="1" applyProtection="1">
      <alignment horizontal="left" vertical="top" wrapText="1"/>
    </xf>
    <xf numFmtId="0" fontId="9" fillId="0" borderId="21" xfId="0" applyFont="1" applyBorder="1" applyAlignment="1" applyProtection="1"/>
    <xf numFmtId="0" fontId="9" fillId="0" borderId="8" xfId="0" applyFont="1" applyBorder="1" applyAlignment="1" applyProtection="1"/>
    <xf numFmtId="0" fontId="0" fillId="0" borderId="13" xfId="0" applyBorder="1"/>
    <xf numFmtId="0" fontId="8" fillId="0" borderId="19" xfId="0" applyFont="1" applyFill="1" applyBorder="1" applyAlignment="1" applyProtection="1">
      <alignment horizontal="justify" vertical="top" wrapText="1"/>
      <protection locked="0"/>
    </xf>
    <xf numFmtId="0" fontId="23" fillId="0" borderId="0" xfId="0" applyFont="1" applyBorder="1" applyProtection="1"/>
    <xf numFmtId="0" fontId="9" fillId="0" borderId="0" xfId="0" applyFont="1" applyBorder="1" applyAlignment="1" applyProtection="1">
      <alignment horizontal="center" vertical="top" wrapText="1"/>
    </xf>
    <xf numFmtId="0" fontId="20" fillId="0" borderId="0" xfId="0" applyFont="1" applyBorder="1" applyProtection="1"/>
    <xf numFmtId="0" fontId="33" fillId="0" borderId="0" xfId="0" applyFont="1" applyFill="1" applyAlignment="1" applyProtection="1">
      <alignment horizontal="left" vertical="top" wrapText="1"/>
    </xf>
    <xf numFmtId="0" fontId="36" fillId="0" borderId="0" xfId="0" applyFont="1" applyBorder="1" applyAlignment="1" applyProtection="1">
      <alignment horizontal="center" vertical="top" wrapText="1"/>
    </xf>
    <xf numFmtId="0" fontId="9" fillId="0" borderId="23" xfId="0" applyFont="1" applyBorder="1" applyProtection="1"/>
    <xf numFmtId="0" fontId="9" fillId="0" borderId="24" xfId="0" applyFont="1" applyBorder="1" applyProtection="1"/>
    <xf numFmtId="0" fontId="0" fillId="0" borderId="0" xfId="0" applyFill="1" applyProtection="1"/>
    <xf numFmtId="0" fontId="8" fillId="0" borderId="17" xfId="0" applyFont="1" applyFill="1" applyBorder="1" applyAlignment="1" applyProtection="1">
      <alignment vertical="top" wrapText="1"/>
      <protection locked="0"/>
    </xf>
    <xf numFmtId="0" fontId="9" fillId="0" borderId="8" xfId="0" applyFont="1" applyBorder="1" applyAlignment="1" applyProtection="1">
      <alignment horizontal="left" vertical="top" wrapText="1"/>
    </xf>
    <xf numFmtId="0" fontId="9" fillId="0" borderId="8" xfId="0" applyFont="1" applyFill="1" applyBorder="1" applyAlignment="1" applyProtection="1">
      <alignment horizontal="left" vertical="top" wrapText="1"/>
    </xf>
    <xf numFmtId="0" fontId="9" fillId="0" borderId="8" xfId="0" applyFont="1" applyBorder="1" applyAlignment="1" applyProtection="1"/>
    <xf numFmtId="0" fontId="9" fillId="0" borderId="8" xfId="0" applyFont="1" applyBorder="1" applyAlignment="1" applyProtection="1">
      <alignment horizontal="left" vertical="top" wrapText="1"/>
    </xf>
    <xf numFmtId="0" fontId="16" fillId="0" borderId="8" xfId="0" applyFont="1" applyBorder="1" applyAlignment="1" applyProtection="1">
      <alignment horizontal="left" vertical="center" wrapText="1"/>
    </xf>
    <xf numFmtId="0" fontId="16" fillId="0" borderId="21" xfId="0" applyFont="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9" fillId="0" borderId="21" xfId="0" applyFont="1" applyFill="1" applyBorder="1" applyAlignment="1" applyProtection="1">
      <alignment horizontal="center" vertical="center" wrapText="1"/>
    </xf>
    <xf numFmtId="0" fontId="36" fillId="0" borderId="8" xfId="0" applyFont="1" applyBorder="1" applyAlignment="1" applyProtection="1">
      <alignment horizontal="left" vertical="center" wrapText="1"/>
    </xf>
    <xf numFmtId="0" fontId="16" fillId="0" borderId="8" xfId="0" applyFont="1" applyBorder="1" applyAlignment="1" applyProtection="1">
      <alignment horizontal="left" wrapText="1"/>
    </xf>
    <xf numFmtId="0" fontId="9" fillId="0" borderId="8" xfId="0" applyFont="1" applyBorder="1" applyAlignment="1" applyProtection="1">
      <alignment horizontal="left" vertical="center" wrapText="1"/>
    </xf>
    <xf numFmtId="0" fontId="9" fillId="0" borderId="21" xfId="0" applyFont="1" applyBorder="1" applyAlignment="1" applyProtection="1">
      <alignment horizontal="center" vertical="center" wrapText="1"/>
    </xf>
    <xf numFmtId="0" fontId="9" fillId="0" borderId="8" xfId="0" applyNumberFormat="1" applyFont="1" applyBorder="1" applyAlignment="1" applyProtection="1">
      <alignment vertical="center"/>
    </xf>
    <xf numFmtId="0" fontId="9" fillId="4" borderId="4" xfId="0" applyFont="1" applyFill="1" applyBorder="1" applyAlignment="1" applyProtection="1">
      <alignment horizontal="left" vertical="top" wrapText="1"/>
      <protection locked="0"/>
    </xf>
    <xf numFmtId="0" fontId="0" fillId="0" borderId="0" xfId="0" applyAlignment="1" applyProtection="1">
      <alignment vertical="center"/>
    </xf>
    <xf numFmtId="0" fontId="9" fillId="0" borderId="0" xfId="0" applyFont="1" applyAlignment="1" applyProtection="1">
      <alignment horizontal="left" vertical="center" wrapText="1"/>
    </xf>
    <xf numFmtId="0" fontId="0" fillId="0" borderId="0" xfId="0" applyBorder="1" applyAlignment="1" applyProtection="1">
      <alignment vertical="center"/>
    </xf>
    <xf numFmtId="0" fontId="23" fillId="0" borderId="0" xfId="0" applyFont="1" applyBorder="1" applyAlignment="1" applyProtection="1">
      <alignment vertical="center"/>
    </xf>
    <xf numFmtId="0" fontId="24" fillId="0" borderId="0" xfId="0" applyFont="1" applyFill="1" applyAlignment="1" applyProtection="1">
      <alignment horizontal="center" wrapText="1"/>
    </xf>
    <xf numFmtId="0" fontId="23" fillId="0" borderId="0" xfId="0" applyFont="1" applyBorder="1"/>
    <xf numFmtId="0" fontId="9" fillId="0" borderId="27" xfId="0" applyFont="1" applyFill="1" applyBorder="1" applyAlignment="1" applyProtection="1">
      <alignment horizontal="center" vertical="center" wrapText="1"/>
    </xf>
    <xf numFmtId="0" fontId="9" fillId="0" borderId="8" xfId="0" applyFont="1" applyFill="1" applyBorder="1" applyAlignment="1" applyProtection="1">
      <alignment vertical="center" wrapText="1"/>
    </xf>
    <xf numFmtId="0" fontId="9" fillId="0" borderId="0" xfId="0" applyFont="1" applyFill="1" applyBorder="1" applyAlignment="1" applyProtection="1">
      <alignment horizontal="left" vertical="top" wrapText="1"/>
    </xf>
    <xf numFmtId="0" fontId="9" fillId="0" borderId="0" xfId="0" applyFont="1" applyAlignment="1" applyProtection="1">
      <alignment horizontal="center" vertical="top"/>
    </xf>
    <xf numFmtId="0" fontId="9" fillId="0" borderId="0" xfId="0" applyFont="1" applyAlignment="1">
      <alignment horizontal="center" vertical="top"/>
    </xf>
    <xf numFmtId="0" fontId="9" fillId="0" borderId="0" xfId="0" applyFont="1" applyAlignment="1">
      <alignment horizontal="left" vertical="top" wrapText="1"/>
    </xf>
    <xf numFmtId="0" fontId="9" fillId="0" borderId="0" xfId="0" applyFont="1" applyFill="1" applyProtection="1"/>
    <xf numFmtId="0" fontId="9" fillId="0" borderId="0" xfId="0" applyFont="1" applyAlignment="1" applyProtection="1">
      <alignment wrapText="1"/>
    </xf>
    <xf numFmtId="0" fontId="9" fillId="0" borderId="8" xfId="0" applyFont="1" applyFill="1" applyBorder="1" applyAlignment="1" applyProtection="1">
      <alignment wrapText="1"/>
    </xf>
    <xf numFmtId="0" fontId="9" fillId="0" borderId="27" xfId="0" applyFont="1" applyFill="1" applyBorder="1" applyAlignment="1" applyProtection="1">
      <alignment horizontal="center" vertical="center"/>
    </xf>
    <xf numFmtId="0" fontId="9" fillId="0" borderId="28" xfId="0" applyFont="1" applyFill="1" applyBorder="1" applyAlignment="1" applyProtection="1">
      <alignment vertical="center" wrapText="1"/>
    </xf>
    <xf numFmtId="0" fontId="0" fillId="0" borderId="0" xfId="0" applyFill="1"/>
    <xf numFmtId="0" fontId="9" fillId="0" borderId="8" xfId="0" applyFont="1" applyFill="1" applyBorder="1" applyAlignment="1" applyProtection="1">
      <alignment horizontal="left" vertical="center" wrapText="1"/>
    </xf>
    <xf numFmtId="0" fontId="9" fillId="0" borderId="8" xfId="0" applyFont="1" applyFill="1" applyBorder="1" applyAlignment="1" applyProtection="1">
      <alignment horizontal="left" vertical="center" wrapText="1"/>
    </xf>
    <xf numFmtId="0" fontId="9" fillId="0" borderId="27" xfId="0" applyFont="1" applyFill="1" applyBorder="1" applyAlignment="1" applyProtection="1">
      <alignment vertical="center"/>
    </xf>
    <xf numFmtId="0" fontId="9" fillId="0" borderId="8" xfId="0" applyFont="1" applyFill="1" applyBorder="1" applyAlignment="1" applyProtection="1">
      <alignment horizontal="left" wrapText="1"/>
    </xf>
    <xf numFmtId="0" fontId="9" fillId="0" borderId="0" xfId="0" applyFont="1" applyAlignment="1">
      <alignment vertical="center"/>
    </xf>
    <xf numFmtId="0" fontId="28" fillId="0" borderId="17" xfId="0" applyFont="1" applyFill="1" applyBorder="1" applyAlignment="1" applyProtection="1">
      <alignment horizontal="center" vertical="center" wrapText="1"/>
    </xf>
    <xf numFmtId="2" fontId="8" fillId="0" borderId="8" xfId="0" applyNumberFormat="1" applyFont="1" applyBorder="1" applyAlignment="1" applyProtection="1">
      <alignment horizontal="center" vertical="center" wrapText="1"/>
    </xf>
    <xf numFmtId="0" fontId="9" fillId="0" borderId="23" xfId="0" applyFont="1" applyBorder="1" applyAlignment="1" applyProtection="1">
      <alignment horizontal="center" vertical="top" wrapText="1"/>
    </xf>
    <xf numFmtId="0" fontId="36" fillId="0" borderId="24" xfId="0" applyFont="1" applyBorder="1" applyAlignment="1" applyProtection="1">
      <alignment horizontal="left" vertical="top"/>
    </xf>
    <xf numFmtId="2" fontId="8" fillId="0" borderId="24" xfId="0" applyNumberFormat="1" applyFont="1" applyBorder="1" applyAlignment="1" applyProtection="1">
      <alignment horizontal="center" vertical="center" wrapText="1"/>
    </xf>
    <xf numFmtId="2" fontId="8" fillId="0" borderId="10" xfId="0" applyNumberFormat="1" applyFont="1" applyBorder="1" applyAlignment="1" applyProtection="1">
      <alignment horizontal="center" vertical="center" wrapText="1"/>
    </xf>
    <xf numFmtId="0" fontId="0" fillId="0" borderId="55" xfId="0" applyBorder="1" applyAlignment="1" applyProtection="1">
      <alignment horizontal="center" vertical="center"/>
    </xf>
    <xf numFmtId="0" fontId="8" fillId="0" borderId="54" xfId="0" applyFont="1" applyFill="1" applyBorder="1" applyAlignment="1" applyProtection="1">
      <alignment horizontal="center" vertical="center" wrapText="1"/>
    </xf>
    <xf numFmtId="0" fontId="32" fillId="0" borderId="0" xfId="0" applyFont="1" applyAlignment="1" applyProtection="1">
      <alignment horizontal="center" vertical="top"/>
    </xf>
    <xf numFmtId="0" fontId="45" fillId="0" borderId="0" xfId="0" applyFont="1" applyAlignment="1" applyProtection="1">
      <alignment horizontal="center" vertical="top"/>
    </xf>
    <xf numFmtId="0" fontId="32" fillId="0" borderId="0" xfId="0" applyFont="1" applyBorder="1" applyAlignment="1" applyProtection="1">
      <alignment horizontal="center" vertical="top"/>
    </xf>
    <xf numFmtId="0" fontId="32" fillId="0" borderId="0" xfId="0" applyFont="1" applyAlignment="1" applyProtection="1">
      <alignment horizontal="center" vertical="center"/>
    </xf>
    <xf numFmtId="0" fontId="32" fillId="0" borderId="0" xfId="0" applyFont="1" applyAlignment="1" applyProtection="1">
      <alignment horizontal="center" vertical="top" wrapText="1"/>
    </xf>
    <xf numFmtId="0" fontId="32" fillId="0" borderId="0" xfId="0" applyFont="1" applyAlignment="1" applyProtection="1">
      <alignment horizontal="center"/>
    </xf>
    <xf numFmtId="0" fontId="32" fillId="4" borderId="18" xfId="0" applyFont="1" applyFill="1" applyBorder="1" applyAlignment="1" applyProtection="1">
      <alignment horizontal="center" vertical="center"/>
      <protection locked="0"/>
    </xf>
    <xf numFmtId="0" fontId="32" fillId="0" borderId="0" xfId="0" applyFont="1" applyProtection="1"/>
    <xf numFmtId="0" fontId="32" fillId="3" borderId="12" xfId="0" applyFont="1" applyFill="1" applyBorder="1" applyAlignment="1" applyProtection="1">
      <alignment horizontal="center" vertical="center"/>
    </xf>
    <xf numFmtId="0" fontId="32" fillId="0" borderId="0" xfId="0" applyFont="1" applyFill="1" applyBorder="1" applyAlignment="1" applyProtection="1">
      <alignment horizontal="center" vertical="center"/>
    </xf>
    <xf numFmtId="0" fontId="32" fillId="0" borderId="18" xfId="0" applyFont="1" applyBorder="1" applyAlignment="1" applyProtection="1">
      <alignment horizontal="center" vertical="center"/>
    </xf>
    <xf numFmtId="0" fontId="32" fillId="4" borderId="13" xfId="0" applyFont="1" applyFill="1" applyBorder="1" applyAlignment="1" applyProtection="1">
      <alignment horizontal="center" vertical="center"/>
      <protection locked="0"/>
    </xf>
    <xf numFmtId="0" fontId="32" fillId="7" borderId="13" xfId="0" applyFont="1" applyFill="1" applyBorder="1" applyAlignment="1" applyProtection="1">
      <alignment horizontal="center" vertical="center"/>
    </xf>
    <xf numFmtId="0" fontId="32" fillId="7" borderId="19" xfId="0" applyFont="1" applyFill="1" applyBorder="1" applyAlignment="1" applyProtection="1">
      <alignment horizontal="center" vertical="center"/>
    </xf>
    <xf numFmtId="9" fontId="32" fillId="7" borderId="13" xfId="1" applyFont="1" applyFill="1" applyBorder="1" applyAlignment="1" applyProtection="1">
      <alignment horizontal="center" vertical="center"/>
    </xf>
    <xf numFmtId="0" fontId="32" fillId="0" borderId="18" xfId="0" applyFont="1" applyFill="1" applyBorder="1" applyAlignment="1" applyProtection="1">
      <alignment horizontal="center" vertical="center"/>
    </xf>
    <xf numFmtId="0" fontId="32" fillId="3" borderId="13" xfId="0" applyFont="1" applyFill="1" applyBorder="1" applyAlignment="1" applyProtection="1">
      <alignment horizontal="center" vertical="center"/>
    </xf>
    <xf numFmtId="0" fontId="32" fillId="0" borderId="12" xfId="0" applyFont="1" applyBorder="1" applyAlignment="1" applyProtection="1">
      <alignment horizontal="center" vertical="center"/>
    </xf>
    <xf numFmtId="0" fontId="16" fillId="0" borderId="20" xfId="0" applyFont="1" applyBorder="1" applyAlignment="1" applyProtection="1">
      <alignment vertical="top"/>
    </xf>
    <xf numFmtId="0" fontId="9" fillId="0" borderId="22" xfId="0" applyFont="1" applyFill="1" applyBorder="1" applyAlignment="1" applyProtection="1">
      <alignment horizontal="left"/>
    </xf>
    <xf numFmtId="0" fontId="9" fillId="0" borderId="20" xfId="0" applyFont="1" applyBorder="1" applyAlignment="1">
      <alignment vertical="top"/>
    </xf>
    <xf numFmtId="0" fontId="9" fillId="0" borderId="22" xfId="0" applyFont="1" applyBorder="1" applyProtection="1"/>
    <xf numFmtId="0" fontId="9" fillId="0" borderId="20" xfId="0" applyFont="1" applyBorder="1" applyAlignment="1" applyProtection="1">
      <alignment vertical="top"/>
    </xf>
    <xf numFmtId="0" fontId="9" fillId="0" borderId="0" xfId="0" applyFont="1" applyBorder="1" applyAlignment="1" applyProtection="1">
      <alignment horizontal="left" vertical="top"/>
    </xf>
    <xf numFmtId="0" fontId="16" fillId="0" borderId="21" xfId="0" applyFont="1" applyBorder="1" applyAlignment="1">
      <alignment horizontal="center" vertical="center" wrapText="1"/>
    </xf>
    <xf numFmtId="0" fontId="16" fillId="0" borderId="8" xfId="0" applyFont="1" applyBorder="1" applyAlignment="1">
      <alignment horizontal="left" vertical="top" wrapText="1"/>
    </xf>
    <xf numFmtId="0" fontId="9" fillId="0" borderId="0" xfId="0" applyFont="1" applyFill="1" applyBorder="1" applyProtection="1"/>
    <xf numFmtId="0" fontId="9" fillId="0" borderId="0" xfId="0" applyFont="1" applyBorder="1" applyProtection="1"/>
    <xf numFmtId="0" fontId="29" fillId="5" borderId="15" xfId="0" applyFont="1" applyFill="1" applyBorder="1" applyAlignment="1" applyProtection="1">
      <alignment horizontal="center" vertical="center" wrapText="1"/>
    </xf>
    <xf numFmtId="0" fontId="29" fillId="5" borderId="16" xfId="0" applyFont="1" applyFill="1" applyBorder="1" applyAlignment="1" applyProtection="1">
      <alignment horizontal="center" vertical="center" wrapText="1"/>
    </xf>
    <xf numFmtId="0" fontId="29" fillId="5" borderId="30" xfId="0" applyFont="1" applyFill="1" applyBorder="1" applyAlignment="1" applyProtection="1">
      <alignment horizontal="center" vertical="center" wrapText="1"/>
    </xf>
    <xf numFmtId="0" fontId="29" fillId="6" borderId="4" xfId="0" applyFont="1" applyFill="1" applyBorder="1" applyAlignment="1" applyProtection="1">
      <alignment horizontal="center" vertical="center" wrapText="1"/>
    </xf>
    <xf numFmtId="0" fontId="23" fillId="0" borderId="0" xfId="0" applyFont="1" applyProtection="1"/>
    <xf numFmtId="0" fontId="29" fillId="5" borderId="4" xfId="0" applyFont="1" applyFill="1" applyBorder="1" applyAlignment="1" applyProtection="1">
      <alignment horizontal="center" vertical="center" wrapText="1"/>
    </xf>
    <xf numFmtId="0" fontId="32" fillId="0" borderId="0" xfId="0" applyFont="1" applyAlignment="1">
      <alignment horizontal="center" vertical="top"/>
    </xf>
    <xf numFmtId="0" fontId="46" fillId="0" borderId="0" xfId="0" applyFont="1" applyBorder="1" applyAlignment="1">
      <alignment horizontal="center" vertical="top" wrapText="1"/>
    </xf>
    <xf numFmtId="0" fontId="46" fillId="0" borderId="0" xfId="0" applyFont="1" applyBorder="1" applyAlignment="1">
      <alignment horizontal="center" vertical="top"/>
    </xf>
    <xf numFmtId="0" fontId="32" fillId="0" borderId="13" xfId="0" applyFont="1" applyBorder="1" applyProtection="1"/>
    <xf numFmtId="2" fontId="32" fillId="7" borderId="13" xfId="0" applyNumberFormat="1" applyFont="1" applyFill="1" applyBorder="1" applyAlignment="1" applyProtection="1">
      <alignment horizontal="center" vertical="center"/>
    </xf>
    <xf numFmtId="0" fontId="32" fillId="0" borderId="13" xfId="0" applyFont="1" applyBorder="1" applyAlignment="1" applyProtection="1">
      <alignment vertical="center"/>
    </xf>
    <xf numFmtId="10" fontId="32" fillId="7" borderId="13" xfId="1" applyNumberFormat="1" applyFont="1" applyFill="1" applyBorder="1" applyAlignment="1" applyProtection="1">
      <alignment horizontal="center" vertical="center"/>
    </xf>
    <xf numFmtId="2" fontId="32" fillId="7" borderId="13" xfId="1" applyNumberFormat="1" applyFont="1" applyFill="1" applyBorder="1" applyAlignment="1" applyProtection="1">
      <alignment horizontal="center" vertical="center"/>
    </xf>
    <xf numFmtId="2" fontId="32" fillId="3" borderId="12" xfId="0" applyNumberFormat="1" applyFont="1" applyFill="1" applyBorder="1" applyAlignment="1" applyProtection="1">
      <alignment horizontal="center" vertical="center"/>
    </xf>
    <xf numFmtId="0" fontId="32" fillId="0" borderId="30" xfId="0" applyFont="1" applyFill="1" applyBorder="1" applyAlignment="1" applyProtection="1">
      <alignment horizontal="center" vertical="center"/>
    </xf>
    <xf numFmtId="9" fontId="32" fillId="7" borderId="19" xfId="1" applyFont="1" applyFill="1" applyBorder="1" applyAlignment="1" applyProtection="1">
      <alignment horizontal="center" vertical="center"/>
    </xf>
    <xf numFmtId="2" fontId="32" fillId="7" borderId="19" xfId="1" applyNumberFormat="1" applyFont="1" applyFill="1" applyBorder="1" applyAlignment="1" applyProtection="1">
      <alignment horizontal="center" vertical="center"/>
    </xf>
    <xf numFmtId="0" fontId="32" fillId="0" borderId="7" xfId="0" applyFont="1" applyBorder="1" applyAlignment="1" applyProtection="1">
      <alignment horizontal="center" vertical="center"/>
    </xf>
    <xf numFmtId="2" fontId="32" fillId="7" borderId="13" xfId="1" applyNumberFormat="1" applyFont="1" applyFill="1" applyBorder="1" applyAlignment="1" applyProtection="1">
      <alignment horizontal="center" vertical="center"/>
      <protection locked="0"/>
    </xf>
    <xf numFmtId="0" fontId="9" fillId="0" borderId="13" xfId="0" applyFont="1" applyBorder="1" applyProtection="1"/>
    <xf numFmtId="0" fontId="32" fillId="4" borderId="13" xfId="0" applyFont="1" applyFill="1" applyBorder="1" applyAlignment="1" applyProtection="1">
      <alignment horizontal="center" vertical="center" wrapText="1"/>
      <protection locked="0"/>
    </xf>
    <xf numFmtId="0" fontId="32" fillId="7" borderId="13" xfId="0" applyFont="1" applyFill="1" applyBorder="1" applyAlignment="1" applyProtection="1">
      <alignment horizontal="center" vertical="center" wrapText="1"/>
    </xf>
    <xf numFmtId="0" fontId="32" fillId="7" borderId="17" xfId="0" applyFont="1" applyFill="1" applyBorder="1" applyAlignment="1" applyProtection="1">
      <alignment horizontal="center" vertical="center"/>
    </xf>
    <xf numFmtId="0" fontId="32" fillId="7" borderId="57" xfId="0" applyFont="1" applyFill="1" applyBorder="1" applyAlignment="1" applyProtection="1">
      <alignment horizontal="center" vertical="center"/>
    </xf>
    <xf numFmtId="0" fontId="16" fillId="0" borderId="8" xfId="0" applyFont="1" applyBorder="1" applyAlignment="1">
      <alignment horizontal="left" vertical="center" wrapText="1"/>
    </xf>
    <xf numFmtId="0" fontId="30" fillId="0" borderId="8" xfId="0" applyFont="1" applyBorder="1" applyAlignment="1">
      <alignment horizontal="left" vertical="center" wrapText="1"/>
    </xf>
    <xf numFmtId="0" fontId="9" fillId="0" borderId="8" xfId="0" applyFont="1" applyBorder="1" applyAlignment="1">
      <alignment horizontal="left" vertical="center" wrapText="1"/>
    </xf>
    <xf numFmtId="165" fontId="32" fillId="4" borderId="19" xfId="1" applyNumberFormat="1" applyFont="1" applyFill="1" applyBorder="1" applyAlignment="1" applyProtection="1">
      <alignment horizontal="center" vertical="center"/>
      <protection locked="0"/>
    </xf>
    <xf numFmtId="0" fontId="9" fillId="0" borderId="14" xfId="0" applyFont="1" applyBorder="1" applyAlignment="1">
      <alignment vertical="center"/>
    </xf>
    <xf numFmtId="0" fontId="9" fillId="0" borderId="14" xfId="0" applyFont="1" applyBorder="1" applyAlignment="1">
      <alignment horizontal="center" vertical="center"/>
    </xf>
    <xf numFmtId="0" fontId="9" fillId="0" borderId="8" xfId="0" applyFont="1" applyBorder="1" applyAlignment="1">
      <alignment horizontal="left" vertical="top" wrapText="1"/>
    </xf>
    <xf numFmtId="0" fontId="9" fillId="0" borderId="10" xfId="0" applyFont="1" applyBorder="1" applyAlignment="1" applyProtection="1">
      <alignment vertical="center"/>
    </xf>
    <xf numFmtId="0" fontId="9" fillId="0" borderId="21" xfId="0" applyFont="1" applyBorder="1" applyAlignment="1" applyProtection="1">
      <alignment vertical="center"/>
    </xf>
    <xf numFmtId="0" fontId="9" fillId="0" borderId="0" xfId="0" applyFont="1" applyAlignment="1" applyProtection="1">
      <alignment vertical="center"/>
    </xf>
    <xf numFmtId="0" fontId="9" fillId="0" borderId="21" xfId="0" applyFont="1" applyBorder="1" applyAlignment="1">
      <alignment horizontal="center" vertical="center"/>
    </xf>
    <xf numFmtId="0" fontId="48" fillId="0" borderId="23" xfId="0" applyFont="1" applyFill="1" applyBorder="1" applyProtection="1"/>
    <xf numFmtId="0" fontId="48" fillId="0" borderId="24" xfId="0" applyFont="1" applyBorder="1" applyProtection="1"/>
    <xf numFmtId="2" fontId="15" fillId="0" borderId="14" xfId="0" applyNumberFormat="1" applyFont="1" applyBorder="1" applyAlignment="1" applyProtection="1">
      <alignment horizontal="center" vertical="center" wrapText="1"/>
    </xf>
    <xf numFmtId="164" fontId="15" fillId="0" borderId="19" xfId="0" applyNumberFormat="1" applyFont="1" applyBorder="1" applyAlignment="1" applyProtection="1">
      <alignment horizontal="center" vertical="center" wrapText="1"/>
    </xf>
    <xf numFmtId="2" fontId="15" fillId="0" borderId="21" xfId="0" applyNumberFormat="1" applyFont="1" applyBorder="1" applyAlignment="1" applyProtection="1">
      <alignment horizontal="center" vertical="center" wrapText="1"/>
    </xf>
    <xf numFmtId="164" fontId="15" fillId="0" borderId="13" xfId="0" applyNumberFormat="1" applyFont="1" applyBorder="1" applyAlignment="1" applyProtection="1">
      <alignment horizontal="center" vertical="center" wrapText="1"/>
    </xf>
    <xf numFmtId="2" fontId="15" fillId="0" borderId="23" xfId="0" applyNumberFormat="1" applyFont="1" applyBorder="1" applyAlignment="1" applyProtection="1">
      <alignment horizontal="center" vertical="center" wrapText="1"/>
    </xf>
    <xf numFmtId="164" fontId="15" fillId="0" borderId="12" xfId="0" applyNumberFormat="1" applyFont="1" applyBorder="1" applyAlignment="1" applyProtection="1">
      <alignment horizontal="center" vertical="center" wrapText="1"/>
    </xf>
    <xf numFmtId="2" fontId="50" fillId="0" borderId="0" xfId="0" applyNumberFormat="1" applyFont="1" applyAlignment="1" applyProtection="1">
      <alignment horizontal="center" vertical="center"/>
    </xf>
    <xf numFmtId="164" fontId="15" fillId="0" borderId="14" xfId="0" applyNumberFormat="1" applyFont="1" applyBorder="1" applyAlignment="1" applyProtection="1">
      <alignment horizontal="center" vertical="center" wrapText="1"/>
    </xf>
    <xf numFmtId="2" fontId="15" fillId="0" borderId="19" xfId="0" applyNumberFormat="1" applyFont="1" applyBorder="1" applyAlignment="1" applyProtection="1">
      <alignment horizontal="center" vertical="center" wrapText="1"/>
    </xf>
    <xf numFmtId="164" fontId="15" fillId="0" borderId="21" xfId="0" applyNumberFormat="1" applyFont="1" applyBorder="1" applyAlignment="1" applyProtection="1">
      <alignment horizontal="center" vertical="center" wrapText="1"/>
    </xf>
    <xf numFmtId="2" fontId="15" fillId="0" borderId="13" xfId="0" applyNumberFormat="1" applyFont="1" applyBorder="1" applyAlignment="1" applyProtection="1">
      <alignment horizontal="center" vertical="center" wrapText="1"/>
    </xf>
    <xf numFmtId="164" fontId="50" fillId="0" borderId="23" xfId="0" applyNumberFormat="1" applyFont="1" applyBorder="1" applyAlignment="1" applyProtection="1">
      <alignment horizontal="center" vertical="center"/>
    </xf>
    <xf numFmtId="2" fontId="15" fillId="0" borderId="12" xfId="0" applyNumberFormat="1" applyFont="1" applyBorder="1" applyAlignment="1" applyProtection="1">
      <alignment horizontal="center" vertical="center" wrapText="1"/>
    </xf>
    <xf numFmtId="0" fontId="34" fillId="0" borderId="0" xfId="0" applyFont="1" applyProtection="1"/>
    <xf numFmtId="0" fontId="8" fillId="0" borderId="0" xfId="0" applyFont="1" applyAlignment="1" applyProtection="1">
      <alignment horizontal="left" vertical="center" wrapText="1"/>
      <protection locked="0"/>
    </xf>
    <xf numFmtId="0" fontId="8" fillId="0" borderId="0" xfId="0" applyFont="1" applyAlignment="1" applyProtection="1">
      <alignment horizontal="left" wrapText="1"/>
      <protection locked="0"/>
    </xf>
    <xf numFmtId="0" fontId="9" fillId="0" borderId="8" xfId="0" applyFont="1" applyFill="1" applyBorder="1" applyAlignment="1" applyProtection="1">
      <alignment horizontal="left" vertical="center" wrapText="1"/>
    </xf>
    <xf numFmtId="0" fontId="8" fillId="0" borderId="8" xfId="0" applyFont="1" applyBorder="1" applyAlignment="1" applyProtection="1">
      <alignment horizontal="center" vertical="center" wrapText="1"/>
      <protection locked="0"/>
    </xf>
    <xf numFmtId="0" fontId="8" fillId="0" borderId="8" xfId="0" applyFont="1" applyBorder="1" applyAlignment="1" applyProtection="1">
      <alignment horizontal="center" vertical="center" wrapText="1"/>
    </xf>
    <xf numFmtId="0" fontId="8" fillId="0" borderId="0" xfId="0" applyFont="1" applyAlignment="1" applyProtection="1">
      <alignment horizontal="center"/>
      <protection locked="0"/>
    </xf>
    <xf numFmtId="0" fontId="8" fillId="0" borderId="0" xfId="0" applyFont="1" applyAlignment="1" applyProtection="1">
      <alignment horizontal="center" vertical="top" wrapText="1"/>
      <protection locked="0"/>
    </xf>
    <xf numFmtId="0" fontId="8" fillId="0" borderId="0" xfId="0" applyFont="1" applyAlignment="1" applyProtection="1">
      <alignment horizontal="justify" vertical="top" wrapText="1"/>
      <protection locked="0"/>
    </xf>
    <xf numFmtId="0" fontId="0" fillId="0" borderId="0" xfId="0" applyAlignment="1" applyProtection="1">
      <protection locked="0"/>
    </xf>
    <xf numFmtId="0" fontId="8" fillId="0" borderId="0" xfId="0" applyFont="1" applyAlignment="1" applyProtection="1">
      <alignment horizontal="left" vertical="top" wrapText="1"/>
      <protection locked="0"/>
    </xf>
    <xf numFmtId="0" fontId="8" fillId="0" borderId="0" xfId="0" applyFont="1" applyAlignment="1" applyProtection="1">
      <alignment horizontal="left" vertical="top"/>
      <protection locked="0"/>
    </xf>
    <xf numFmtId="0" fontId="8" fillId="0" borderId="0" xfId="0" applyFont="1" applyAlignment="1" applyProtection="1">
      <alignment horizontal="left"/>
      <protection locked="0"/>
    </xf>
    <xf numFmtId="0" fontId="8" fillId="0" borderId="0" xfId="0" applyFont="1" applyAlignment="1">
      <alignment horizontal="justify"/>
    </xf>
    <xf numFmtId="0" fontId="0" fillId="0" borderId="0" xfId="0" applyAlignment="1"/>
    <xf numFmtId="0" fontId="0" fillId="0" borderId="8" xfId="0" applyBorder="1" applyAlignment="1" applyProtection="1">
      <alignment horizontal="center" vertical="center"/>
    </xf>
    <xf numFmtId="2" fontId="7" fillId="0" borderId="0" xfId="0" applyNumberFormat="1" applyFont="1" applyAlignment="1" applyProtection="1">
      <alignment horizontal="center" vertical="center"/>
    </xf>
    <xf numFmtId="0" fontId="8" fillId="8" borderId="10" xfId="0" applyFont="1" applyFill="1" applyBorder="1" applyAlignment="1" applyProtection="1">
      <alignment horizontal="center" vertical="center" wrapText="1"/>
    </xf>
    <xf numFmtId="0" fontId="8" fillId="8" borderId="8" xfId="0" applyFont="1" applyFill="1" applyBorder="1" applyAlignment="1" applyProtection="1">
      <alignment horizontal="center" vertical="center" wrapText="1"/>
    </xf>
    <xf numFmtId="0" fontId="8" fillId="8" borderId="8" xfId="0" applyFont="1" applyFill="1" applyBorder="1" applyAlignment="1" applyProtection="1">
      <alignment horizontal="center" vertical="center" wrapText="1"/>
      <protection locked="0"/>
    </xf>
    <xf numFmtId="0" fontId="8" fillId="8" borderId="13" xfId="0" applyFont="1" applyFill="1" applyBorder="1" applyAlignment="1" applyProtection="1">
      <alignment horizontal="left" vertical="top" wrapText="1"/>
      <protection locked="0"/>
    </xf>
    <xf numFmtId="0" fontId="8" fillId="0" borderId="9" xfId="0" applyFont="1" applyBorder="1" applyAlignment="1" applyProtection="1">
      <alignment horizontal="center" vertical="center" wrapText="1"/>
    </xf>
    <xf numFmtId="0" fontId="9" fillId="0" borderId="8" xfId="0" applyFont="1" applyFill="1" applyBorder="1" applyAlignment="1" applyProtection="1">
      <alignment horizontal="left" vertical="center" wrapText="1"/>
    </xf>
    <xf numFmtId="0" fontId="0" fillId="0" borderId="0" xfId="0" applyFont="1" applyAlignment="1" applyProtection="1">
      <alignment horizontal="center" vertical="top"/>
    </xf>
    <xf numFmtId="0" fontId="0" fillId="0" borderId="0" xfId="0" applyBorder="1" applyAlignment="1" applyProtection="1">
      <alignment horizontal="center" vertical="top" wrapText="1"/>
    </xf>
    <xf numFmtId="0" fontId="0" fillId="0" borderId="18" xfId="0" applyFill="1" applyBorder="1" applyAlignment="1" applyProtection="1">
      <alignment horizontal="center" vertical="center"/>
    </xf>
    <xf numFmtId="0" fontId="0" fillId="4" borderId="13" xfId="0" applyFill="1" applyBorder="1" applyAlignment="1" applyProtection="1">
      <alignment horizontal="center" vertical="center"/>
      <protection locked="0"/>
    </xf>
    <xf numFmtId="0" fontId="9" fillId="0" borderId="8" xfId="0" applyFont="1" applyBorder="1" applyAlignment="1" applyProtection="1">
      <alignment horizontal="left" vertical="center" wrapText="1"/>
    </xf>
    <xf numFmtId="0" fontId="0" fillId="7" borderId="13" xfId="0" applyFill="1" applyBorder="1" applyAlignment="1" applyProtection="1">
      <alignment horizontal="center" vertical="center"/>
    </xf>
    <xf numFmtId="0" fontId="51" fillId="0" borderId="0" xfId="0" applyFont="1" applyAlignment="1" applyProtection="1">
      <alignment horizontal="center" vertical="top"/>
    </xf>
    <xf numFmtId="0" fontId="0" fillId="3" borderId="12" xfId="0" applyFill="1" applyBorder="1" applyAlignment="1" applyProtection="1">
      <alignment horizontal="center" vertical="center"/>
    </xf>
    <xf numFmtId="0" fontId="8" fillId="0" borderId="0" xfId="0" applyFont="1" applyAlignment="1" applyProtection="1">
      <alignment horizontal="center" vertical="top"/>
      <protection locked="0"/>
    </xf>
    <xf numFmtId="0" fontId="8" fillId="8" borderId="10" xfId="0" applyFont="1" applyFill="1" applyBorder="1" applyAlignment="1" applyProtection="1">
      <alignment horizontal="center" vertical="center" wrapText="1"/>
      <protection locked="0"/>
    </xf>
    <xf numFmtId="0" fontId="8" fillId="8" borderId="19" xfId="0" applyFont="1" applyFill="1" applyBorder="1" applyAlignment="1" applyProtection="1">
      <alignment horizontal="justify" vertical="top" wrapText="1"/>
      <protection locked="0"/>
    </xf>
    <xf numFmtId="0" fontId="7" fillId="0" borderId="0" xfId="0" applyFont="1" applyAlignment="1">
      <alignment horizontal="left" vertical="top"/>
    </xf>
    <xf numFmtId="0" fontId="0" fillId="0" borderId="0" xfId="0" applyAlignment="1">
      <alignment vertical="center"/>
    </xf>
    <xf numFmtId="0" fontId="20" fillId="0" borderId="17" xfId="0" applyFont="1" applyBorder="1" applyAlignment="1" applyProtection="1">
      <alignment horizontal="center" vertical="center" wrapText="1"/>
    </xf>
    <xf numFmtId="9" fontId="0" fillId="0" borderId="10" xfId="0" applyNumberFormat="1" applyBorder="1" applyAlignment="1" applyProtection="1">
      <alignment horizontal="center"/>
    </xf>
    <xf numFmtId="2" fontId="0" fillId="0" borderId="10" xfId="0" applyNumberFormat="1" applyBorder="1" applyAlignment="1" applyProtection="1">
      <alignment horizontal="center"/>
    </xf>
    <xf numFmtId="2" fontId="0" fillId="0" borderId="19" xfId="0" applyNumberFormat="1" applyBorder="1" applyAlignment="1" applyProtection="1">
      <alignment horizontal="center"/>
    </xf>
    <xf numFmtId="9" fontId="0" fillId="0" borderId="8" xfId="0" applyNumberFormat="1" applyBorder="1" applyAlignment="1" applyProtection="1">
      <alignment horizontal="center"/>
    </xf>
    <xf numFmtId="2" fontId="0" fillId="0" borderId="13" xfId="0" applyNumberFormat="1" applyBorder="1" applyAlignment="1" applyProtection="1">
      <alignment horizontal="center"/>
    </xf>
    <xf numFmtId="0" fontId="0" fillId="0" borderId="14" xfId="0" applyBorder="1" applyAlignment="1">
      <alignment horizontal="center" vertical="center"/>
    </xf>
    <xf numFmtId="2" fontId="0" fillId="0" borderId="36" xfId="0" applyNumberFormat="1" applyBorder="1" applyAlignment="1">
      <alignment horizontal="center" vertical="center"/>
    </xf>
    <xf numFmtId="2" fontId="0" fillId="0" borderId="19" xfId="0" applyNumberFormat="1" applyBorder="1" applyAlignment="1">
      <alignment horizontal="center" vertical="center"/>
    </xf>
    <xf numFmtId="2" fontId="0" fillId="0" borderId="43" xfId="0" applyNumberFormat="1" applyBorder="1" applyAlignment="1" applyProtection="1">
      <alignment horizontal="center"/>
    </xf>
    <xf numFmtId="2" fontId="0" fillId="0" borderId="13" xfId="0" applyNumberFormat="1" applyBorder="1" applyAlignment="1">
      <alignment horizontal="center" vertical="center"/>
    </xf>
    <xf numFmtId="2" fontId="50" fillId="0" borderId="17" xfId="0" applyNumberFormat="1" applyFont="1" applyBorder="1" applyAlignment="1">
      <alignment horizontal="center" vertical="center"/>
    </xf>
    <xf numFmtId="0" fontId="0" fillId="0" borderId="15" xfId="0" applyBorder="1" applyAlignment="1">
      <alignment horizontal="center" vertical="center"/>
    </xf>
    <xf numFmtId="0" fontId="20" fillId="0" borderId="15" xfId="0" applyFont="1" applyBorder="1" applyAlignment="1">
      <alignment horizontal="center" vertical="center"/>
    </xf>
    <xf numFmtId="1" fontId="0" fillId="0" borderId="14" xfId="0" applyNumberFormat="1" applyBorder="1" applyAlignment="1">
      <alignment horizontal="center" vertical="center"/>
    </xf>
    <xf numFmtId="0" fontId="0" fillId="0" borderId="38" xfId="0" applyBorder="1" applyAlignment="1">
      <alignment horizontal="center" vertical="center"/>
    </xf>
    <xf numFmtId="0" fontId="0" fillId="0" borderId="13" xfId="0" applyBorder="1" applyAlignment="1">
      <alignment vertical="center"/>
    </xf>
    <xf numFmtId="0" fontId="0" fillId="0" borderId="28" xfId="0" applyBorder="1" applyAlignment="1">
      <alignment horizontal="center" vertical="center"/>
    </xf>
    <xf numFmtId="0" fontId="50" fillId="0" borderId="15" xfId="0" applyFont="1" applyBorder="1" applyAlignment="1">
      <alignment vertical="center"/>
    </xf>
    <xf numFmtId="0" fontId="50" fillId="0" borderId="47" xfId="0" applyFont="1" applyBorder="1" applyAlignment="1">
      <alignment vertical="center"/>
    </xf>
    <xf numFmtId="0" fontId="20" fillId="0" borderId="17" xfId="0" applyFont="1" applyBorder="1" applyAlignment="1">
      <alignment horizontal="center" vertical="center"/>
    </xf>
    <xf numFmtId="0" fontId="20" fillId="0" borderId="47" xfId="0" applyFont="1" applyBorder="1" applyAlignment="1">
      <alignment horizontal="center" vertical="center"/>
    </xf>
    <xf numFmtId="0" fontId="0" fillId="0" borderId="20" xfId="0" applyBorder="1" applyAlignment="1">
      <alignment horizontal="center" vertical="center"/>
    </xf>
    <xf numFmtId="2" fontId="0" fillId="0" borderId="18" xfId="0" applyNumberFormat="1" applyBorder="1" applyAlignment="1">
      <alignment horizontal="center" vertical="center"/>
    </xf>
    <xf numFmtId="0" fontId="8" fillId="0" borderId="0" xfId="0" applyFont="1" applyAlignment="1" applyProtection="1">
      <alignment horizontal="center" vertical="center"/>
      <protection locked="0"/>
    </xf>
    <xf numFmtId="164" fontId="7" fillId="0" borderId="0" xfId="0" applyNumberFormat="1" applyFont="1" applyAlignment="1" applyProtection="1">
      <alignment horizontal="center"/>
      <protection locked="0"/>
    </xf>
    <xf numFmtId="2" fontId="7" fillId="0" borderId="0" xfId="0" applyNumberFormat="1" applyFont="1" applyAlignment="1" applyProtection="1">
      <alignment horizontal="center"/>
      <protection locked="0"/>
    </xf>
    <xf numFmtId="0" fontId="42" fillId="0" borderId="15" xfId="0" applyFont="1" applyBorder="1" applyAlignment="1" applyProtection="1">
      <alignment horizontal="center" vertical="center" wrapText="1"/>
    </xf>
    <xf numFmtId="2" fontId="7" fillId="0" borderId="19" xfId="0" applyNumberFormat="1" applyFont="1" applyBorder="1" applyAlignment="1" applyProtection="1">
      <alignment horizontal="center" vertical="center"/>
    </xf>
    <xf numFmtId="164" fontId="7" fillId="0" borderId="14" xfId="0" applyNumberFormat="1" applyFont="1" applyBorder="1" applyAlignment="1" applyProtection="1">
      <alignment horizontal="center" vertical="center"/>
    </xf>
    <xf numFmtId="164" fontId="7" fillId="0" borderId="44" xfId="0" applyNumberFormat="1" applyFont="1" applyBorder="1" applyAlignment="1" applyProtection="1">
      <alignment horizontal="center" vertical="center"/>
    </xf>
    <xf numFmtId="2" fontId="7" fillId="0" borderId="19" xfId="0" applyNumberFormat="1" applyFont="1" applyBorder="1" applyAlignment="1" applyProtection="1">
      <alignment horizontal="center" vertical="center"/>
      <protection locked="0"/>
    </xf>
    <xf numFmtId="2" fontId="7" fillId="0" borderId="45" xfId="0" applyNumberFormat="1" applyFont="1" applyBorder="1" applyAlignment="1" applyProtection="1">
      <alignment horizontal="center" vertical="center"/>
      <protection locked="0"/>
    </xf>
    <xf numFmtId="0" fontId="20" fillId="0" borderId="23" xfId="0" applyFont="1" applyBorder="1" applyAlignment="1" applyProtection="1">
      <alignment horizontal="center" vertical="center" wrapText="1"/>
    </xf>
    <xf numFmtId="0" fontId="20" fillId="0" borderId="24" xfId="0" applyFont="1" applyBorder="1" applyAlignment="1" applyProtection="1">
      <alignment horizontal="center" vertical="center" wrapText="1"/>
    </xf>
    <xf numFmtId="0" fontId="12" fillId="0" borderId="10" xfId="0" applyFont="1" applyBorder="1" applyAlignment="1" applyProtection="1">
      <alignment horizontal="left" vertical="top" wrapText="1"/>
    </xf>
    <xf numFmtId="0" fontId="0" fillId="0" borderId="19" xfId="0" applyBorder="1" applyProtection="1"/>
    <xf numFmtId="0" fontId="13" fillId="0" borderId="8" xfId="0" applyFont="1" applyBorder="1" applyAlignment="1" applyProtection="1">
      <alignment horizontal="left" vertical="top" wrapText="1"/>
    </xf>
    <xf numFmtId="0" fontId="8" fillId="0" borderId="8" xfId="0" applyFont="1" applyBorder="1" applyAlignment="1" applyProtection="1">
      <alignment horizontal="left" vertical="top" wrapText="1"/>
    </xf>
    <xf numFmtId="0" fontId="0" fillId="0" borderId="21" xfId="0" applyBorder="1" applyAlignment="1" applyProtection="1">
      <alignment horizontal="center" vertical="center"/>
    </xf>
    <xf numFmtId="0" fontId="0" fillId="0" borderId="35" xfId="0" applyBorder="1" applyAlignment="1" applyProtection="1">
      <alignment horizontal="center" vertical="center"/>
    </xf>
    <xf numFmtId="0" fontId="7" fillId="0" borderId="21" xfId="0" applyFont="1" applyBorder="1" applyAlignment="1" applyProtection="1">
      <alignment horizontal="center" vertical="center"/>
    </xf>
    <xf numFmtId="0" fontId="7" fillId="0" borderId="13" xfId="0" applyFont="1" applyBorder="1" applyAlignment="1" applyProtection="1">
      <alignment horizontal="center" vertical="center"/>
    </xf>
    <xf numFmtId="0" fontId="12" fillId="0" borderId="8" xfId="0" applyFont="1" applyBorder="1" applyAlignment="1" applyProtection="1">
      <alignment horizontal="left" vertical="top" wrapText="1"/>
    </xf>
    <xf numFmtId="0" fontId="8" fillId="2" borderId="8" xfId="0" applyFont="1" applyFill="1" applyBorder="1" applyAlignment="1" applyProtection="1">
      <alignment horizontal="left" vertical="top" wrapText="1"/>
    </xf>
    <xf numFmtId="0" fontId="0" fillId="0" borderId="21" xfId="0" applyBorder="1" applyProtection="1"/>
    <xf numFmtId="0" fontId="8" fillId="0" borderId="21" xfId="0" applyFont="1" applyBorder="1" applyAlignment="1" applyProtection="1">
      <alignment vertical="top" wrapText="1"/>
    </xf>
    <xf numFmtId="0" fontId="8" fillId="0" borderId="23" xfId="0" applyFont="1" applyBorder="1" applyAlignment="1" applyProtection="1">
      <alignment vertical="top" wrapText="1"/>
    </xf>
    <xf numFmtId="0" fontId="13" fillId="0" borderId="24" xfId="0" applyFont="1" applyBorder="1" applyAlignment="1" applyProtection="1">
      <alignment vertical="top" wrapText="1"/>
    </xf>
    <xf numFmtId="0" fontId="11" fillId="0" borderId="15" xfId="0" applyFont="1" applyBorder="1" applyAlignment="1" applyProtection="1">
      <alignment vertical="top"/>
    </xf>
    <xf numFmtId="0" fontId="8" fillId="0" borderId="16" xfId="0" applyFont="1" applyBorder="1" applyAlignment="1" applyProtection="1">
      <alignment vertical="top" wrapText="1"/>
    </xf>
    <xf numFmtId="0" fontId="8" fillId="0" borderId="16" xfId="0" applyFont="1" applyFill="1" applyBorder="1" applyAlignment="1" applyProtection="1">
      <alignment vertical="top" wrapText="1"/>
    </xf>
    <xf numFmtId="0" fontId="7" fillId="0" borderId="23" xfId="0" applyFont="1" applyBorder="1" applyAlignment="1" applyProtection="1">
      <alignment horizontal="center" vertical="center"/>
    </xf>
    <xf numFmtId="0" fontId="42" fillId="0" borderId="15" xfId="0" applyFont="1" applyBorder="1" applyAlignment="1" applyProtection="1">
      <alignment horizontal="center" vertical="center"/>
    </xf>
    <xf numFmtId="0" fontId="8" fillId="0" borderId="12" xfId="0" quotePrefix="1" applyFont="1" applyBorder="1" applyAlignment="1" applyProtection="1">
      <alignment horizontal="center" vertical="center" wrapText="1"/>
    </xf>
    <xf numFmtId="0" fontId="8" fillId="8" borderId="10" xfId="0" applyFont="1" applyFill="1" applyBorder="1" applyAlignment="1" applyProtection="1">
      <alignment horizontal="center" vertical="top" wrapText="1"/>
    </xf>
    <xf numFmtId="0" fontId="8" fillId="8" borderId="19" xfId="0" applyFont="1" applyFill="1" applyBorder="1" applyAlignment="1" applyProtection="1">
      <alignment horizontal="center" vertical="center" wrapText="1"/>
    </xf>
    <xf numFmtId="0" fontId="8" fillId="8" borderId="17" xfId="0" applyFont="1" applyFill="1" applyBorder="1" applyAlignment="1" applyProtection="1">
      <alignment horizontal="center" vertical="center" wrapText="1"/>
    </xf>
    <xf numFmtId="0" fontId="10" fillId="0" borderId="8" xfId="0" applyFont="1" applyBorder="1" applyAlignment="1" applyProtection="1">
      <alignment horizontal="center" wrapText="1"/>
    </xf>
    <xf numFmtId="0" fontId="42" fillId="0" borderId="21" xfId="0" applyFont="1" applyBorder="1" applyAlignment="1" applyProtection="1">
      <alignment horizontal="center"/>
    </xf>
    <xf numFmtId="0" fontId="42" fillId="0" borderId="8" xfId="0" applyFont="1" applyBorder="1" applyProtection="1"/>
    <xf numFmtId="0" fontId="8" fillId="0" borderId="10" xfId="0" applyFont="1" applyBorder="1" applyAlignment="1" applyProtection="1">
      <alignment horizontal="center" vertical="top" wrapText="1"/>
    </xf>
    <xf numFmtId="2" fontId="7" fillId="0" borderId="10" xfId="0" applyNumberFormat="1" applyFont="1" applyBorder="1" applyAlignment="1" applyProtection="1">
      <alignment horizontal="center"/>
    </xf>
    <xf numFmtId="164" fontId="7" fillId="0" borderId="21" xfId="0" applyNumberFormat="1" applyFont="1" applyBorder="1" applyAlignment="1" applyProtection="1">
      <alignment horizontal="center"/>
    </xf>
    <xf numFmtId="2" fontId="7" fillId="0" borderId="8" xfId="0" applyNumberFormat="1" applyFont="1" applyBorder="1" applyAlignment="1" applyProtection="1">
      <alignment horizontal="center"/>
    </xf>
    <xf numFmtId="2" fontId="7" fillId="0" borderId="13" xfId="0" applyNumberFormat="1" applyFont="1" applyBorder="1" applyAlignment="1" applyProtection="1">
      <alignment horizontal="center"/>
    </xf>
    <xf numFmtId="0" fontId="8" fillId="0" borderId="39" xfId="0" applyFont="1" applyBorder="1" applyAlignment="1" applyProtection="1">
      <alignment horizontal="center" vertical="top" wrapText="1"/>
    </xf>
    <xf numFmtId="164" fontId="7" fillId="0" borderId="23" xfId="0" applyNumberFormat="1" applyFont="1" applyBorder="1" applyAlignment="1" applyProtection="1">
      <alignment horizontal="center"/>
    </xf>
    <xf numFmtId="2" fontId="7" fillId="0" borderId="24" xfId="0" applyNumberFormat="1" applyFont="1" applyBorder="1" applyAlignment="1" applyProtection="1">
      <alignment horizontal="center"/>
    </xf>
    <xf numFmtId="2" fontId="7" fillId="0" borderId="12" xfId="0" applyNumberFormat="1" applyFont="1" applyBorder="1" applyAlignment="1" applyProtection="1">
      <alignment horizontal="center"/>
    </xf>
    <xf numFmtId="0" fontId="8" fillId="0" borderId="0" xfId="0" applyFont="1" applyBorder="1" applyAlignment="1" applyProtection="1">
      <alignment horizontal="center" vertical="top" wrapText="1"/>
    </xf>
    <xf numFmtId="0" fontId="8" fillId="0" borderId="0" xfId="0" applyFont="1" applyBorder="1" applyAlignment="1" applyProtection="1">
      <alignment horizontal="center" vertical="center" wrapText="1"/>
    </xf>
    <xf numFmtId="0" fontId="8" fillId="0" borderId="0" xfId="0" applyFont="1" applyBorder="1" applyAlignment="1" applyProtection="1">
      <alignment horizontal="justify" vertical="top" wrapText="1"/>
    </xf>
    <xf numFmtId="0" fontId="7" fillId="0" borderId="0" xfId="0" applyFont="1" applyAlignment="1" applyProtection="1">
      <alignment horizontal="center"/>
    </xf>
    <xf numFmtId="2" fontId="7" fillId="0" borderId="0" xfId="0" applyNumberFormat="1" applyFont="1" applyAlignment="1" applyProtection="1">
      <alignment horizontal="center"/>
    </xf>
    <xf numFmtId="0" fontId="7" fillId="0" borderId="0" xfId="0" applyFont="1" applyProtection="1"/>
    <xf numFmtId="0" fontId="8" fillId="0" borderId="0" xfId="0" applyFont="1" applyAlignment="1" applyProtection="1">
      <alignment horizontal="justify"/>
    </xf>
    <xf numFmtId="0" fontId="8" fillId="8" borderId="10" xfId="0" applyFont="1" applyFill="1" applyBorder="1" applyAlignment="1" applyProtection="1">
      <alignment horizontal="justify" vertical="center" wrapText="1"/>
    </xf>
    <xf numFmtId="0" fontId="8" fillId="8" borderId="10" xfId="0" applyFont="1" applyFill="1" applyBorder="1" applyAlignment="1" applyProtection="1">
      <alignment horizontal="justify" vertical="top" wrapText="1"/>
    </xf>
    <xf numFmtId="2" fontId="7" fillId="0" borderId="8" xfId="0" applyNumberFormat="1" applyFont="1" applyBorder="1" applyAlignment="1" applyProtection="1">
      <alignment horizontal="center" vertical="center"/>
    </xf>
    <xf numFmtId="2" fontId="8" fillId="8" borderId="10" xfId="0" applyNumberFormat="1" applyFont="1" applyFill="1" applyBorder="1" applyAlignment="1" applyProtection="1">
      <alignment horizontal="justify" vertical="center" wrapText="1"/>
    </xf>
    <xf numFmtId="2" fontId="8" fillId="0" borderId="16" xfId="0" applyNumberFormat="1" applyFont="1" applyBorder="1" applyAlignment="1" applyProtection="1">
      <alignment horizontal="center" vertical="center" wrapText="1"/>
    </xf>
    <xf numFmtId="2" fontId="8" fillId="0" borderId="10" xfId="0" applyNumberFormat="1" applyFont="1" applyBorder="1" applyAlignment="1" applyProtection="1">
      <alignment horizontal="center" vertical="top" wrapText="1"/>
    </xf>
    <xf numFmtId="2" fontId="8" fillId="0" borderId="39" xfId="0" applyNumberFormat="1" applyFont="1" applyBorder="1" applyAlignment="1" applyProtection="1">
      <alignment horizontal="center" vertical="top" wrapText="1"/>
    </xf>
    <xf numFmtId="164" fontId="7" fillId="0" borderId="0" xfId="0" applyNumberFormat="1" applyFont="1" applyAlignment="1" applyProtection="1">
      <alignment horizontal="center"/>
    </xf>
    <xf numFmtId="0" fontId="9" fillId="0" borderId="10" xfId="0" applyFont="1" applyBorder="1" applyAlignment="1" applyProtection="1">
      <alignment horizontal="left" vertical="top" wrapText="1"/>
      <protection locked="0"/>
    </xf>
    <xf numFmtId="0" fontId="9" fillId="0" borderId="8" xfId="0" applyFont="1" applyBorder="1" applyAlignment="1" applyProtection="1">
      <alignment horizontal="left" vertical="top" wrapText="1"/>
      <protection locked="0"/>
    </xf>
    <xf numFmtId="0" fontId="15" fillId="0" borderId="53" xfId="0" applyFont="1" applyBorder="1" applyAlignment="1" applyProtection="1">
      <alignment horizontal="center" vertical="center"/>
    </xf>
    <xf numFmtId="0" fontId="15" fillId="0" borderId="56" xfId="0" applyFont="1" applyBorder="1" applyAlignment="1" applyProtection="1">
      <alignment horizontal="center" vertical="center"/>
    </xf>
    <xf numFmtId="0" fontId="50" fillId="0" borderId="4" xfId="0" applyFont="1" applyBorder="1" applyAlignment="1" applyProtection="1">
      <alignment horizontal="center" vertical="center"/>
    </xf>
    <xf numFmtId="0" fontId="9" fillId="0" borderId="19" xfId="0" applyFont="1" applyBorder="1" applyAlignment="1" applyProtection="1">
      <alignment horizontal="left" vertical="top" wrapText="1"/>
      <protection locked="0"/>
    </xf>
    <xf numFmtId="0" fontId="9" fillId="0" borderId="13" xfId="0" applyFont="1" applyBorder="1" applyAlignment="1" applyProtection="1">
      <alignment horizontal="left" vertical="top" wrapText="1"/>
      <protection locked="0"/>
    </xf>
    <xf numFmtId="0" fontId="9" fillId="0" borderId="12" xfId="0" applyFont="1" applyBorder="1" applyAlignment="1" applyProtection="1">
      <alignment horizontal="left" vertical="top" wrapText="1"/>
      <protection locked="0"/>
    </xf>
    <xf numFmtId="0" fontId="20" fillId="0" borderId="49" xfId="0" applyFont="1" applyBorder="1" applyAlignment="1">
      <alignment horizontal="center" vertical="center"/>
    </xf>
    <xf numFmtId="0" fontId="20" fillId="0" borderId="51" xfId="0" applyFont="1" applyBorder="1" applyAlignment="1">
      <alignment horizontal="center" vertical="center"/>
    </xf>
    <xf numFmtId="0" fontId="20" fillId="0" borderId="30" xfId="0" applyFont="1" applyBorder="1" applyAlignment="1">
      <alignment horizontal="center" vertical="center"/>
    </xf>
    <xf numFmtId="2" fontId="0" fillId="0" borderId="0" xfId="0" applyNumberFormat="1"/>
    <xf numFmtId="2" fontId="15" fillId="0" borderId="8" xfId="0" applyNumberFormat="1" applyFont="1" applyBorder="1" applyAlignment="1">
      <alignment horizontal="center" vertical="center"/>
    </xf>
    <xf numFmtId="0" fontId="8" fillId="0" borderId="0" xfId="0" applyFont="1" applyAlignment="1" applyProtection="1">
      <alignment horizontal="center"/>
      <protection locked="0"/>
    </xf>
    <xf numFmtId="0" fontId="15" fillId="0" borderId="0" xfId="0" applyFont="1" applyAlignment="1" applyProtection="1">
      <alignment horizontal="left" vertical="top" wrapText="1"/>
      <protection locked="0"/>
    </xf>
    <xf numFmtId="0" fontId="8" fillId="0" borderId="0" xfId="0" applyFont="1" applyAlignment="1" applyProtection="1">
      <alignment horizontal="center" vertical="top" wrapText="1"/>
      <protection locked="0"/>
    </xf>
    <xf numFmtId="0" fontId="8" fillId="0" borderId="0" xfId="0" applyFont="1" applyAlignment="1" applyProtection="1">
      <alignment horizontal="left" vertical="top" wrapText="1"/>
      <protection locked="0"/>
    </xf>
    <xf numFmtId="0" fontId="8" fillId="0" borderId="0" xfId="0" applyFont="1" applyBorder="1" applyAlignment="1" applyProtection="1">
      <alignment horizontal="left" vertical="top" wrapText="1"/>
      <protection locked="0"/>
    </xf>
    <xf numFmtId="0" fontId="0" fillId="0" borderId="0" xfId="0" applyAlignment="1" applyProtection="1">
      <protection locked="0"/>
    </xf>
    <xf numFmtId="0" fontId="15" fillId="0" borderId="0" xfId="0" applyFont="1" applyAlignment="1" applyProtection="1">
      <alignment horizontal="center" vertical="top" wrapText="1"/>
      <protection locked="0"/>
    </xf>
    <xf numFmtId="0" fontId="10" fillId="0" borderId="22" xfId="0" applyFont="1" applyBorder="1" applyAlignment="1" applyProtection="1">
      <alignment horizontal="center" vertical="center" wrapText="1"/>
    </xf>
    <xf numFmtId="0" fontId="10" fillId="0" borderId="8" xfId="0" applyFont="1" applyBorder="1" applyAlignment="1" applyProtection="1">
      <alignment horizontal="center" vertical="center" wrapText="1"/>
    </xf>
    <xf numFmtId="0" fontId="10" fillId="0" borderId="24" xfId="0" applyFont="1" applyBorder="1" applyAlignment="1" applyProtection="1">
      <alignment horizontal="center" vertical="center" wrapText="1"/>
    </xf>
    <xf numFmtId="0" fontId="8" fillId="0" borderId="0" xfId="0" applyFont="1" applyAlignment="1" applyProtection="1">
      <alignment horizontal="left" vertical="top"/>
      <protection locked="0"/>
    </xf>
    <xf numFmtId="0" fontId="8" fillId="0" borderId="0" xfId="0" applyFont="1" applyAlignment="1" applyProtection="1">
      <alignment horizontal="left"/>
      <protection locked="0"/>
    </xf>
    <xf numFmtId="0" fontId="18" fillId="0" borderId="0" xfId="0" applyFont="1" applyAlignment="1">
      <alignment horizontal="left"/>
    </xf>
    <xf numFmtId="0" fontId="0" fillId="0" borderId="0" xfId="0" applyAlignment="1"/>
    <xf numFmtId="0" fontId="20" fillId="0" borderId="16" xfId="0" applyFont="1" applyBorder="1" applyAlignment="1" applyProtection="1">
      <alignment horizontal="center" vertical="center"/>
    </xf>
    <xf numFmtId="0" fontId="15" fillId="0" borderId="0" xfId="0" applyFont="1" applyAlignment="1" applyProtection="1">
      <alignment horizontal="center" vertical="center" wrapText="1"/>
      <protection locked="0"/>
    </xf>
    <xf numFmtId="0" fontId="7" fillId="0" borderId="0" xfId="0" applyFont="1" applyAlignment="1" applyProtection="1">
      <alignment horizontal="left" vertical="top" wrapText="1"/>
      <protection locked="0"/>
    </xf>
    <xf numFmtId="0" fontId="54" fillId="9" borderId="24" xfId="2" applyFont="1" applyBorder="1" applyAlignment="1" applyProtection="1">
      <alignment horizontal="center" vertical="center" wrapText="1"/>
    </xf>
    <xf numFmtId="0" fontId="54" fillId="9" borderId="0" xfId="2" applyFont="1" applyProtection="1"/>
    <xf numFmtId="0" fontId="54" fillId="9" borderId="23" xfId="2" applyFont="1" applyBorder="1" applyAlignment="1" applyProtection="1">
      <alignment horizontal="center" vertical="center"/>
    </xf>
    <xf numFmtId="0" fontId="54" fillId="9" borderId="24" xfId="2" applyFont="1" applyBorder="1" applyAlignment="1" applyProtection="1">
      <alignment vertical="center"/>
    </xf>
    <xf numFmtId="0" fontId="54" fillId="9" borderId="10" xfId="2" applyFont="1" applyBorder="1" applyAlignment="1" applyProtection="1">
      <alignment horizontal="center" vertical="top" wrapText="1"/>
    </xf>
    <xf numFmtId="0" fontId="54" fillId="9" borderId="10" xfId="2" applyFont="1" applyBorder="1" applyAlignment="1" applyProtection="1">
      <alignment horizontal="left" vertical="top" wrapText="1"/>
    </xf>
    <xf numFmtId="0" fontId="54" fillId="9" borderId="19" xfId="2" applyFont="1" applyBorder="1" applyAlignment="1" applyProtection="1">
      <alignment horizontal="left" vertical="top" wrapText="1"/>
      <protection locked="0"/>
    </xf>
    <xf numFmtId="164" fontId="54" fillId="9" borderId="14" xfId="2" applyNumberFormat="1" applyFont="1" applyBorder="1" applyAlignment="1" applyProtection="1">
      <alignment horizontal="center"/>
    </xf>
    <xf numFmtId="2" fontId="54" fillId="9" borderId="10" xfId="2" applyNumberFormat="1" applyFont="1" applyBorder="1" applyAlignment="1" applyProtection="1">
      <alignment horizontal="center"/>
    </xf>
    <xf numFmtId="2" fontId="54" fillId="9" borderId="19" xfId="2" applyNumberFormat="1" applyFont="1" applyBorder="1" applyAlignment="1" applyProtection="1">
      <alignment horizontal="center"/>
    </xf>
    <xf numFmtId="0" fontId="54" fillId="9" borderId="13" xfId="2" applyFont="1" applyBorder="1" applyAlignment="1" applyProtection="1">
      <alignment horizontal="left" vertical="top" wrapText="1"/>
      <protection locked="0"/>
    </xf>
    <xf numFmtId="164" fontId="54" fillId="9" borderId="21" xfId="2" applyNumberFormat="1" applyFont="1" applyBorder="1" applyAlignment="1" applyProtection="1">
      <alignment horizontal="center"/>
    </xf>
    <xf numFmtId="2" fontId="54" fillId="9" borderId="8" xfId="2" applyNumberFormat="1" applyFont="1" applyBorder="1" applyAlignment="1" applyProtection="1">
      <alignment horizontal="center"/>
    </xf>
    <xf numFmtId="2" fontId="54" fillId="9" borderId="13" xfId="2" applyNumberFormat="1" applyFont="1" applyBorder="1" applyAlignment="1" applyProtection="1">
      <alignment horizontal="center"/>
    </xf>
    <xf numFmtId="0" fontId="8" fillId="0" borderId="10" xfId="0" applyFont="1" applyBorder="1" applyAlignment="1" applyProtection="1">
      <alignment horizontal="left" vertical="top" wrapText="1"/>
    </xf>
    <xf numFmtId="0" fontId="54" fillId="10" borderId="10" xfId="3" applyFont="1" applyBorder="1" applyAlignment="1" applyProtection="1">
      <alignment horizontal="center" vertical="top" wrapText="1"/>
    </xf>
    <xf numFmtId="0" fontId="54" fillId="10" borderId="10" xfId="3" applyFont="1" applyBorder="1" applyAlignment="1" applyProtection="1">
      <alignment horizontal="left" vertical="top" wrapText="1"/>
    </xf>
    <xf numFmtId="0" fontId="54" fillId="10" borderId="13" xfId="3" applyFont="1" applyBorder="1" applyAlignment="1" applyProtection="1">
      <alignment horizontal="left" vertical="top" wrapText="1"/>
      <protection locked="0"/>
    </xf>
    <xf numFmtId="0" fontId="54" fillId="10" borderId="0" xfId="3" applyFont="1" applyProtection="1"/>
    <xf numFmtId="164" fontId="54" fillId="10" borderId="21" xfId="3" applyNumberFormat="1" applyFont="1" applyBorder="1" applyAlignment="1" applyProtection="1">
      <alignment horizontal="center"/>
    </xf>
    <xf numFmtId="2" fontId="54" fillId="10" borderId="8" xfId="3" applyNumberFormat="1" applyFont="1" applyBorder="1" applyAlignment="1" applyProtection="1">
      <alignment horizontal="center"/>
    </xf>
    <xf numFmtId="2" fontId="54" fillId="10" borderId="13" xfId="3" applyNumberFormat="1" applyFont="1" applyBorder="1" applyAlignment="1" applyProtection="1">
      <alignment horizontal="center"/>
    </xf>
    <xf numFmtId="0" fontId="54" fillId="11" borderId="10" xfId="4" applyFont="1" applyBorder="1" applyAlignment="1" applyProtection="1">
      <alignment horizontal="center" vertical="top" wrapText="1"/>
    </xf>
    <xf numFmtId="0" fontId="54" fillId="11" borderId="10" xfId="4" applyFont="1" applyBorder="1" applyAlignment="1" applyProtection="1">
      <alignment horizontal="left" vertical="top" wrapText="1"/>
    </xf>
    <xf numFmtId="0" fontId="54" fillId="11" borderId="13" xfId="4" applyFont="1" applyBorder="1" applyAlignment="1" applyProtection="1">
      <alignment horizontal="left" vertical="top" wrapText="1"/>
      <protection locked="0"/>
    </xf>
    <xf numFmtId="0" fontId="54" fillId="11" borderId="0" xfId="4" applyFont="1" applyProtection="1"/>
    <xf numFmtId="164" fontId="54" fillId="11" borderId="21" xfId="4" applyNumberFormat="1" applyFont="1" applyBorder="1" applyAlignment="1" applyProtection="1">
      <alignment horizontal="center"/>
    </xf>
    <xf numFmtId="2" fontId="54" fillId="11" borderId="8" xfId="4" applyNumberFormat="1" applyFont="1" applyBorder="1" applyAlignment="1" applyProtection="1">
      <alignment horizontal="center"/>
    </xf>
    <xf numFmtId="2" fontId="54" fillId="11" borderId="13" xfId="4" applyNumberFormat="1" applyFont="1" applyBorder="1" applyAlignment="1" applyProtection="1">
      <alignment horizontal="center"/>
    </xf>
    <xf numFmtId="0" fontId="8" fillId="0" borderId="39" xfId="0" applyFont="1" applyBorder="1" applyAlignment="1" applyProtection="1">
      <alignment horizontal="left" vertical="top" wrapText="1"/>
    </xf>
    <xf numFmtId="0" fontId="54" fillId="9" borderId="23" xfId="2" applyFont="1" applyBorder="1" applyAlignment="1" applyProtection="1">
      <alignment horizontal="center" vertical="center" wrapText="1"/>
    </xf>
    <xf numFmtId="0" fontId="54" fillId="9" borderId="10" xfId="2" applyFont="1" applyBorder="1" applyAlignment="1" applyProtection="1">
      <alignment horizontal="justify" vertical="center" wrapText="1"/>
    </xf>
    <xf numFmtId="0" fontId="54" fillId="9" borderId="10" xfId="2" applyFont="1" applyBorder="1" applyAlignment="1" applyProtection="1">
      <alignment horizontal="justify" vertical="top" wrapText="1"/>
    </xf>
    <xf numFmtId="0" fontId="54" fillId="9" borderId="19" xfId="2" applyFont="1" applyBorder="1" applyAlignment="1" applyProtection="1">
      <alignment horizontal="justify" vertical="top" wrapText="1"/>
      <protection locked="0"/>
    </xf>
    <xf numFmtId="0" fontId="54" fillId="9" borderId="14" xfId="2" applyFont="1" applyBorder="1" applyProtection="1"/>
    <xf numFmtId="0" fontId="54" fillId="9" borderId="10" xfId="2" applyFont="1" applyBorder="1" applyProtection="1"/>
    <xf numFmtId="0" fontId="54" fillId="9" borderId="19" xfId="2" applyFont="1" applyBorder="1" applyProtection="1"/>
    <xf numFmtId="2" fontId="54" fillId="9" borderId="10" xfId="2" applyNumberFormat="1" applyFont="1" applyBorder="1" applyAlignment="1" applyProtection="1">
      <alignment horizontal="center" vertical="center" wrapText="1"/>
    </xf>
    <xf numFmtId="0" fontId="54" fillId="9" borderId="8" xfId="2" applyFont="1" applyBorder="1" applyAlignment="1" applyProtection="1">
      <alignment horizontal="left" vertical="top" wrapText="1"/>
    </xf>
    <xf numFmtId="0" fontId="54" fillId="9" borderId="13" xfId="2" applyFont="1" applyBorder="1" applyAlignment="1" applyProtection="1">
      <alignment horizontal="justify" vertical="top" wrapText="1"/>
      <protection locked="0"/>
    </xf>
    <xf numFmtId="0" fontId="54" fillId="9" borderId="21" xfId="2" applyFont="1" applyBorder="1" applyAlignment="1" applyProtection="1">
      <alignment horizontal="center" vertical="center"/>
    </xf>
    <xf numFmtId="2" fontId="54" fillId="9" borderId="8" xfId="2" applyNumberFormat="1" applyFont="1" applyBorder="1" applyAlignment="1" applyProtection="1">
      <alignment horizontal="center" vertical="center"/>
    </xf>
    <xf numFmtId="0" fontId="54" fillId="9" borderId="13" xfId="2" applyFont="1" applyBorder="1" applyAlignment="1" applyProtection="1">
      <alignment horizontal="center" vertical="center"/>
    </xf>
    <xf numFmtId="2" fontId="54" fillId="9" borderId="10" xfId="2" applyNumberFormat="1" applyFont="1" applyBorder="1" applyAlignment="1" applyProtection="1">
      <alignment horizontal="justify" vertical="center" wrapText="1"/>
    </xf>
    <xf numFmtId="0" fontId="54" fillId="9" borderId="13" xfId="2" applyFont="1" applyBorder="1" applyAlignment="1" applyProtection="1">
      <alignment vertical="top" wrapText="1"/>
      <protection locked="0"/>
    </xf>
    <xf numFmtId="2" fontId="54" fillId="10" borderId="10" xfId="3" applyNumberFormat="1" applyFont="1" applyBorder="1" applyAlignment="1" applyProtection="1">
      <alignment horizontal="center" vertical="center" wrapText="1"/>
    </xf>
    <xf numFmtId="0" fontId="54" fillId="10" borderId="8" xfId="3" applyFont="1" applyBorder="1" applyAlignment="1" applyProtection="1">
      <alignment horizontal="left" vertical="top" wrapText="1"/>
    </xf>
    <xf numFmtId="0" fontId="54" fillId="10" borderId="13" xfId="3" applyFont="1" applyBorder="1" applyAlignment="1" applyProtection="1">
      <alignment vertical="top" wrapText="1"/>
      <protection locked="0"/>
    </xf>
    <xf numFmtId="0" fontId="54" fillId="10" borderId="21" xfId="3" applyFont="1" applyBorder="1" applyAlignment="1" applyProtection="1">
      <alignment horizontal="center" vertical="center"/>
    </xf>
    <xf numFmtId="2" fontId="54" fillId="10" borderId="8" xfId="3" applyNumberFormat="1" applyFont="1" applyBorder="1" applyAlignment="1" applyProtection="1">
      <alignment horizontal="center" vertical="center"/>
    </xf>
    <xf numFmtId="0" fontId="54" fillId="10" borderId="13" xfId="3" applyFont="1" applyBorder="1" applyAlignment="1" applyProtection="1">
      <alignment horizontal="center" vertical="center"/>
    </xf>
    <xf numFmtId="2" fontId="54" fillId="10" borderId="10" xfId="3" applyNumberFormat="1" applyFont="1" applyBorder="1" applyAlignment="1" applyProtection="1">
      <alignment horizontal="justify" vertical="center" wrapText="1"/>
    </xf>
    <xf numFmtId="0" fontId="54" fillId="10" borderId="10" xfId="3" applyFont="1" applyBorder="1" applyAlignment="1" applyProtection="1">
      <alignment horizontal="justify" vertical="top" wrapText="1"/>
    </xf>
    <xf numFmtId="0" fontId="54" fillId="10" borderId="19" xfId="3" applyFont="1" applyBorder="1" applyAlignment="1" applyProtection="1">
      <alignment horizontal="justify" vertical="top" wrapText="1"/>
      <protection locked="0"/>
    </xf>
    <xf numFmtId="0" fontId="54" fillId="10" borderId="12" xfId="3" applyFont="1" applyBorder="1" applyAlignment="1" applyProtection="1">
      <alignment vertical="top" wrapText="1"/>
      <protection locked="0"/>
    </xf>
    <xf numFmtId="0" fontId="54" fillId="10" borderId="23" xfId="3" applyFont="1" applyBorder="1" applyAlignment="1" applyProtection="1">
      <alignment horizontal="center" vertical="center"/>
    </xf>
    <xf numFmtId="2" fontId="54" fillId="10" borderId="24" xfId="3" applyNumberFormat="1" applyFont="1" applyBorder="1" applyAlignment="1" applyProtection="1">
      <alignment horizontal="center" vertical="center"/>
    </xf>
    <xf numFmtId="0" fontId="54" fillId="10" borderId="12" xfId="3" applyFont="1" applyBorder="1" applyAlignment="1" applyProtection="1">
      <alignment horizontal="center" vertical="center"/>
    </xf>
    <xf numFmtId="0" fontId="54" fillId="10" borderId="19" xfId="3" applyFont="1" applyBorder="1" applyAlignment="1" applyProtection="1">
      <alignment horizontal="justify" vertical="top" wrapText="1"/>
    </xf>
    <xf numFmtId="0" fontId="54" fillId="10" borderId="0" xfId="3" applyFont="1" applyAlignment="1" applyProtection="1">
      <alignment horizontal="center"/>
    </xf>
    <xf numFmtId="2" fontId="54" fillId="10" borderId="0" xfId="3" applyNumberFormat="1" applyFont="1" applyAlignment="1" applyProtection="1">
      <alignment horizontal="center"/>
    </xf>
    <xf numFmtId="0" fontId="54" fillId="11" borderId="0" xfId="4" applyFont="1" applyAlignment="1" applyProtection="1">
      <alignment vertical="top"/>
      <protection locked="0"/>
    </xf>
    <xf numFmtId="0" fontId="54" fillId="11" borderId="0" xfId="4" applyFont="1" applyProtection="1">
      <protection locked="0"/>
    </xf>
    <xf numFmtId="0" fontId="54" fillId="11" borderId="0" xfId="4" applyFont="1" applyBorder="1" applyAlignment="1" applyProtection="1">
      <alignment vertical="center"/>
      <protection locked="0"/>
    </xf>
    <xf numFmtId="0" fontId="54" fillId="11" borderId="0" xfId="4" applyFont="1" applyBorder="1" applyAlignment="1" applyProtection="1">
      <alignment vertical="center" wrapText="1"/>
      <protection locked="0"/>
    </xf>
    <xf numFmtId="0" fontId="54" fillId="9" borderId="23" xfId="2" applyFont="1" applyBorder="1" applyAlignment="1" applyProtection="1">
      <alignment vertical="center" wrapText="1"/>
    </xf>
    <xf numFmtId="0" fontId="54" fillId="9" borderId="24" xfId="2" applyFont="1" applyBorder="1" applyAlignment="1" applyProtection="1">
      <alignment vertical="center" wrapText="1"/>
    </xf>
    <xf numFmtId="2" fontId="54" fillId="9" borderId="10" xfId="2" applyNumberFormat="1" applyFont="1" applyBorder="1" applyAlignment="1" applyProtection="1">
      <alignment horizontal="center" vertical="top" wrapText="1"/>
    </xf>
    <xf numFmtId="2" fontId="54" fillId="10" borderId="10" xfId="3" applyNumberFormat="1" applyFont="1" applyBorder="1" applyAlignment="1" applyProtection="1">
      <alignment horizontal="center" vertical="top" wrapText="1"/>
    </xf>
    <xf numFmtId="2" fontId="54" fillId="10" borderId="10" xfId="3" applyNumberFormat="1" applyFont="1" applyBorder="1" applyAlignment="1" applyProtection="1">
      <alignment horizontal="center"/>
    </xf>
    <xf numFmtId="2" fontId="54" fillId="11" borderId="10" xfId="4" applyNumberFormat="1" applyFont="1" applyBorder="1" applyAlignment="1" applyProtection="1">
      <alignment horizontal="center" vertical="top" wrapText="1"/>
    </xf>
    <xf numFmtId="0" fontId="54" fillId="11" borderId="8" xfId="4" applyFont="1" applyBorder="1" applyAlignment="1" applyProtection="1">
      <alignment horizontal="left" vertical="top" wrapText="1"/>
    </xf>
    <xf numFmtId="2" fontId="54" fillId="11" borderId="10" xfId="4" applyNumberFormat="1" applyFont="1" applyBorder="1" applyAlignment="1" applyProtection="1">
      <alignment horizontal="center"/>
    </xf>
    <xf numFmtId="0" fontId="8" fillId="0" borderId="24" xfId="0" applyFont="1" applyBorder="1" applyAlignment="1" applyProtection="1">
      <alignment horizontal="left" vertical="top" wrapText="1"/>
    </xf>
    <xf numFmtId="0" fontId="54" fillId="9" borderId="0" xfId="2" applyFont="1"/>
    <xf numFmtId="0" fontId="54" fillId="10" borderId="0" xfId="3" applyFont="1"/>
    <xf numFmtId="0" fontId="54" fillId="10" borderId="0" xfId="3" applyFont="1" applyAlignment="1"/>
    <xf numFmtId="0" fontId="54" fillId="11" borderId="0" xfId="4" applyFont="1"/>
    <xf numFmtId="0" fontId="0" fillId="0" borderId="53" xfId="0" applyBorder="1" applyAlignment="1">
      <alignment horizontal="center"/>
    </xf>
    <xf numFmtId="2" fontId="0" fillId="0" borderId="53" xfId="0" applyNumberFormat="1" applyBorder="1" applyAlignment="1">
      <alignment horizontal="center"/>
    </xf>
    <xf numFmtId="0" fontId="54" fillId="9" borderId="16" xfId="2" applyFont="1" applyBorder="1" applyAlignment="1" applyProtection="1">
      <alignment horizontal="center" vertical="center"/>
    </xf>
    <xf numFmtId="0" fontId="54" fillId="9" borderId="17" xfId="2" applyFont="1" applyBorder="1" applyAlignment="1" applyProtection="1">
      <alignment horizontal="center" vertical="center" wrapText="1"/>
    </xf>
    <xf numFmtId="9" fontId="54" fillId="9" borderId="10" xfId="2" applyNumberFormat="1" applyFont="1" applyBorder="1" applyAlignment="1" applyProtection="1">
      <alignment horizontal="center"/>
    </xf>
    <xf numFmtId="9" fontId="54" fillId="9" borderId="8" xfId="2" applyNumberFormat="1" applyFont="1" applyBorder="1" applyAlignment="1" applyProtection="1">
      <alignment horizontal="center"/>
    </xf>
    <xf numFmtId="2" fontId="54" fillId="9" borderId="43" xfId="2" applyNumberFormat="1" applyFont="1" applyBorder="1" applyAlignment="1" applyProtection="1">
      <alignment horizontal="center"/>
    </xf>
    <xf numFmtId="0" fontId="54" fillId="10" borderId="16" xfId="3" applyFont="1" applyBorder="1" applyAlignment="1" applyProtection="1">
      <alignment horizontal="center" vertical="center"/>
    </xf>
    <xf numFmtId="0" fontId="54" fillId="10" borderId="17" xfId="3" applyFont="1" applyBorder="1" applyAlignment="1" applyProtection="1">
      <alignment horizontal="center" vertical="center" wrapText="1"/>
    </xf>
    <xf numFmtId="9" fontId="54" fillId="10" borderId="10" xfId="3" applyNumberFormat="1" applyFont="1" applyBorder="1" applyAlignment="1" applyProtection="1">
      <alignment horizontal="center"/>
    </xf>
    <xf numFmtId="2" fontId="54" fillId="10" borderId="19" xfId="3" applyNumberFormat="1" applyFont="1" applyBorder="1" applyAlignment="1" applyProtection="1">
      <alignment horizontal="center"/>
    </xf>
    <xf numFmtId="9" fontId="54" fillId="10" borderId="8" xfId="3" applyNumberFormat="1" applyFont="1" applyBorder="1" applyAlignment="1" applyProtection="1">
      <alignment horizontal="center"/>
    </xf>
    <xf numFmtId="2" fontId="54" fillId="10" borderId="43" xfId="3" applyNumberFormat="1" applyFont="1" applyBorder="1" applyAlignment="1" applyProtection="1">
      <alignment horizontal="center"/>
    </xf>
    <xf numFmtId="0" fontId="54" fillId="11" borderId="16" xfId="4" applyFont="1" applyBorder="1" applyAlignment="1" applyProtection="1">
      <alignment horizontal="center" vertical="center"/>
    </xf>
    <xf numFmtId="0" fontId="54" fillId="11" borderId="17" xfId="4" applyFont="1" applyBorder="1" applyAlignment="1" applyProtection="1">
      <alignment horizontal="center" vertical="center" wrapText="1"/>
    </xf>
    <xf numFmtId="9" fontId="54" fillId="11" borderId="10" xfId="4" applyNumberFormat="1" applyFont="1" applyBorder="1" applyAlignment="1" applyProtection="1">
      <alignment horizontal="center"/>
    </xf>
    <xf numFmtId="2" fontId="54" fillId="11" borderId="19" xfId="4" applyNumberFormat="1" applyFont="1" applyBorder="1" applyAlignment="1" applyProtection="1">
      <alignment horizontal="center"/>
    </xf>
    <xf numFmtId="9" fontId="54" fillId="11" borderId="8" xfId="4" applyNumberFormat="1" applyFont="1" applyBorder="1" applyAlignment="1" applyProtection="1">
      <alignment horizontal="center"/>
    </xf>
    <xf numFmtId="2" fontId="54" fillId="11" borderId="43" xfId="4" applyNumberFormat="1" applyFont="1" applyBorder="1" applyAlignment="1" applyProtection="1">
      <alignment horizontal="center"/>
    </xf>
    <xf numFmtId="0" fontId="0" fillId="0" borderId="54" xfId="0" applyBorder="1" applyAlignment="1">
      <alignment horizontal="center"/>
    </xf>
    <xf numFmtId="0" fontId="7" fillId="0" borderId="0" xfId="0" applyFont="1" applyAlignment="1" applyProtection="1">
      <alignment horizontal="center" vertical="center"/>
      <protection locked="0"/>
    </xf>
    <xf numFmtId="0" fontId="11" fillId="0" borderId="8"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42" fillId="0" borderId="17" xfId="0" applyFont="1" applyBorder="1" applyAlignment="1" applyProtection="1">
      <alignment vertical="center" wrapText="1"/>
    </xf>
    <xf numFmtId="0" fontId="7" fillId="0" borderId="8" xfId="0" applyFont="1" applyBorder="1" applyAlignment="1" applyProtection="1">
      <alignment horizontal="center" vertical="center" wrapText="1"/>
    </xf>
    <xf numFmtId="0" fontId="7" fillId="0" borderId="8"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xf>
    <xf numFmtId="0" fontId="54" fillId="9" borderId="8" xfId="2" applyFont="1" applyBorder="1" applyAlignment="1" applyProtection="1">
      <alignment horizontal="center" vertical="center" wrapText="1"/>
      <protection locked="0"/>
    </xf>
    <xf numFmtId="0" fontId="54" fillId="9" borderId="8" xfId="2" applyFont="1" applyBorder="1" applyAlignment="1" applyProtection="1">
      <alignment horizontal="center" vertical="center"/>
    </xf>
    <xf numFmtId="164" fontId="54" fillId="9" borderId="14" xfId="2" applyNumberFormat="1" applyFont="1" applyBorder="1" applyAlignment="1" applyProtection="1">
      <alignment horizontal="center" vertical="center"/>
    </xf>
    <xf numFmtId="2" fontId="54" fillId="9" borderId="19" xfId="2" applyNumberFormat="1" applyFont="1" applyBorder="1" applyAlignment="1" applyProtection="1">
      <alignment horizontal="center" vertical="center"/>
    </xf>
    <xf numFmtId="0" fontId="54" fillId="10" borderId="8" xfId="3" applyFont="1" applyBorder="1" applyAlignment="1" applyProtection="1">
      <alignment horizontal="center" vertical="center" wrapText="1"/>
      <protection locked="0"/>
    </xf>
    <xf numFmtId="0" fontId="54" fillId="10" borderId="8" xfId="3" applyFont="1" applyBorder="1" applyAlignment="1" applyProtection="1">
      <alignment horizontal="center" vertical="center"/>
    </xf>
    <xf numFmtId="164" fontId="54" fillId="10" borderId="14" xfId="3" applyNumberFormat="1" applyFont="1" applyBorder="1" applyAlignment="1" applyProtection="1">
      <alignment horizontal="center" vertical="center"/>
    </xf>
    <xf numFmtId="2" fontId="54" fillId="10" borderId="19" xfId="3" applyNumberFormat="1" applyFont="1" applyBorder="1" applyAlignment="1" applyProtection="1">
      <alignment horizontal="center" vertical="center"/>
    </xf>
    <xf numFmtId="0" fontId="54" fillId="11" borderId="8" xfId="4" applyFont="1" applyBorder="1" applyAlignment="1" applyProtection="1">
      <alignment horizontal="center" vertical="center" wrapText="1"/>
      <protection locked="0"/>
    </xf>
    <xf numFmtId="0" fontId="54" fillId="11" borderId="8" xfId="4" applyFont="1" applyBorder="1" applyAlignment="1" applyProtection="1">
      <alignment horizontal="center" vertical="center"/>
    </xf>
    <xf numFmtId="164" fontId="54" fillId="11" borderId="14" xfId="4" applyNumberFormat="1" applyFont="1" applyBorder="1" applyAlignment="1" applyProtection="1">
      <alignment horizontal="center" vertical="center"/>
    </xf>
    <xf numFmtId="2" fontId="54" fillId="11" borderId="19" xfId="4" applyNumberFormat="1" applyFont="1" applyBorder="1" applyAlignment="1" applyProtection="1">
      <alignment horizontal="center" vertical="center"/>
    </xf>
    <xf numFmtId="0" fontId="7" fillId="0" borderId="0" xfId="0" applyFont="1" applyBorder="1" applyAlignment="1" applyProtection="1">
      <alignment horizontal="center" vertical="center"/>
      <protection locked="0"/>
    </xf>
    <xf numFmtId="0" fontId="7" fillId="0" borderId="0" xfId="0" applyFont="1" applyAlignment="1">
      <alignment horizontal="center" vertical="center"/>
    </xf>
    <xf numFmtId="0" fontId="8" fillId="8" borderId="36" xfId="0" applyFont="1" applyFill="1" applyBorder="1" applyAlignment="1" applyProtection="1">
      <alignment horizontal="center" vertical="center" wrapText="1"/>
      <protection locked="0"/>
    </xf>
    <xf numFmtId="0" fontId="54" fillId="9" borderId="36" xfId="2" applyFont="1" applyBorder="1" applyProtection="1"/>
    <xf numFmtId="0" fontId="8" fillId="0" borderId="36"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54" fillId="9" borderId="35" xfId="2" applyFont="1" applyBorder="1" applyAlignment="1" applyProtection="1">
      <alignment horizontal="center" vertical="center"/>
    </xf>
    <xf numFmtId="0" fontId="8" fillId="2" borderId="36" xfId="0" applyFont="1" applyFill="1" applyBorder="1" applyAlignment="1" applyProtection="1">
      <alignment horizontal="justify" vertical="top" wrapText="1"/>
      <protection locked="0"/>
    </xf>
    <xf numFmtId="0" fontId="8" fillId="2" borderId="8" xfId="0" applyFont="1" applyFill="1" applyBorder="1" applyAlignment="1" applyProtection="1">
      <alignment horizontal="justify" vertical="top" wrapText="1"/>
      <protection locked="0"/>
    </xf>
    <xf numFmtId="0" fontId="54" fillId="9" borderId="8" xfId="2" applyFont="1" applyBorder="1" applyAlignment="1" applyProtection="1">
      <alignment horizontal="justify" vertical="top" wrapText="1"/>
      <protection locked="0"/>
    </xf>
    <xf numFmtId="0" fontId="54" fillId="9" borderId="21" xfId="2" applyFont="1" applyBorder="1" applyProtection="1"/>
    <xf numFmtId="0" fontId="54" fillId="10" borderId="35" xfId="3" applyFont="1" applyBorder="1" applyAlignment="1" applyProtection="1">
      <alignment horizontal="center" vertical="center"/>
    </xf>
    <xf numFmtId="0" fontId="54" fillId="10" borderId="21" xfId="3" applyFont="1" applyBorder="1" applyProtection="1"/>
    <xf numFmtId="0" fontId="54" fillId="10" borderId="24" xfId="3" applyFont="1" applyBorder="1" applyAlignment="1" applyProtection="1">
      <alignment horizontal="center" vertical="center"/>
    </xf>
    <xf numFmtId="0" fontId="54" fillId="10" borderId="50" xfId="3" applyFont="1" applyBorder="1" applyAlignment="1" applyProtection="1">
      <alignment horizontal="center" vertical="center"/>
    </xf>
    <xf numFmtId="0" fontId="8" fillId="0" borderId="49" xfId="0" applyFont="1" applyFill="1" applyBorder="1" applyAlignment="1" applyProtection="1">
      <alignment horizontal="center" vertical="center" wrapText="1"/>
      <protection locked="0"/>
    </xf>
    <xf numFmtId="0" fontId="54" fillId="10" borderId="0" xfId="3" applyFont="1" applyProtection="1">
      <protection locked="0"/>
    </xf>
    <xf numFmtId="0" fontId="10" fillId="0" borderId="49" xfId="0" applyFont="1" applyFill="1" applyBorder="1" applyAlignment="1" applyProtection="1">
      <alignment horizontal="center" vertical="center" wrapText="1"/>
    </xf>
    <xf numFmtId="0" fontId="10" fillId="0" borderId="8" xfId="0" applyFont="1" applyBorder="1" applyAlignment="1" applyProtection="1">
      <alignment vertical="center" wrapText="1"/>
    </xf>
    <xf numFmtId="0" fontId="10" fillId="0" borderId="8" xfId="0" applyFont="1" applyFill="1" applyBorder="1" applyAlignment="1" applyProtection="1">
      <alignment vertical="center" wrapText="1"/>
    </xf>
    <xf numFmtId="0" fontId="42" fillId="0" borderId="18" xfId="0" applyFont="1" applyBorder="1" applyAlignment="1" applyProtection="1">
      <alignment vertical="center" wrapText="1"/>
    </xf>
    <xf numFmtId="0" fontId="9" fillId="0" borderId="36" xfId="0" applyFont="1" applyBorder="1" applyAlignment="1" applyProtection="1">
      <alignment horizontal="left" vertical="top" wrapText="1"/>
      <protection locked="0"/>
    </xf>
    <xf numFmtId="0" fontId="22" fillId="0" borderId="14" xfId="0" applyFont="1" applyBorder="1" applyAlignment="1" applyProtection="1">
      <alignment horizontal="center" vertical="center" wrapText="1"/>
    </xf>
    <xf numFmtId="0" fontId="10" fillId="0" borderId="10" xfId="0" applyFont="1" applyBorder="1" applyAlignment="1" applyProtection="1">
      <alignment vertical="center" wrapText="1"/>
    </xf>
    <xf numFmtId="0" fontId="22" fillId="0" borderId="10" xfId="0" applyFont="1" applyFill="1" applyBorder="1" applyAlignment="1" applyProtection="1">
      <alignment horizontal="center" vertical="center" wrapText="1"/>
    </xf>
    <xf numFmtId="2" fontId="7" fillId="0" borderId="0" xfId="0" applyNumberFormat="1" applyFont="1" applyBorder="1" applyAlignment="1" applyProtection="1">
      <alignment horizontal="center" vertical="center"/>
      <protection locked="0"/>
    </xf>
    <xf numFmtId="0" fontId="54" fillId="9" borderId="14" xfId="2" applyFont="1" applyBorder="1" applyAlignment="1" applyProtection="1">
      <alignment horizontal="center" vertical="center" wrapText="1"/>
    </xf>
    <xf numFmtId="0" fontId="54" fillId="9" borderId="10" xfId="2" applyFont="1" applyBorder="1" applyAlignment="1" applyProtection="1">
      <alignment vertical="center" wrapText="1"/>
    </xf>
    <xf numFmtId="0" fontId="54" fillId="9" borderId="10" xfId="2" applyFont="1" applyBorder="1" applyAlignment="1" applyProtection="1">
      <alignment horizontal="center" vertical="center" wrapText="1"/>
    </xf>
    <xf numFmtId="2" fontId="54" fillId="9" borderId="0" xfId="2" applyNumberFormat="1" applyFont="1" applyBorder="1" applyAlignment="1" applyProtection="1">
      <alignment horizontal="center" vertical="center"/>
      <protection locked="0"/>
    </xf>
    <xf numFmtId="0" fontId="54" fillId="10" borderId="14" xfId="3" applyFont="1" applyBorder="1" applyAlignment="1" applyProtection="1">
      <alignment horizontal="center" vertical="center" wrapText="1"/>
    </xf>
    <xf numFmtId="0" fontId="54" fillId="10" borderId="10" xfId="3" applyFont="1" applyBorder="1" applyAlignment="1" applyProtection="1">
      <alignment vertical="center" wrapText="1"/>
    </xf>
    <xf numFmtId="0" fontId="54" fillId="10" borderId="10" xfId="3" applyFont="1" applyBorder="1" applyAlignment="1" applyProtection="1">
      <alignment horizontal="center" vertical="center" wrapText="1"/>
    </xf>
    <xf numFmtId="2" fontId="54" fillId="10" borderId="0" xfId="3" applyNumberFormat="1" applyFont="1" applyBorder="1" applyAlignment="1" applyProtection="1">
      <alignment horizontal="center" vertical="center"/>
      <protection locked="0"/>
    </xf>
    <xf numFmtId="0" fontId="54" fillId="11" borderId="14" xfId="4" applyFont="1" applyBorder="1" applyAlignment="1" applyProtection="1">
      <alignment horizontal="center" vertical="center" wrapText="1"/>
    </xf>
    <xf numFmtId="0" fontId="54" fillId="11" borderId="10" xfId="4" applyFont="1" applyBorder="1" applyAlignment="1" applyProtection="1">
      <alignment vertical="center" wrapText="1"/>
    </xf>
    <xf numFmtId="0" fontId="54" fillId="11" borderId="10" xfId="4" applyFont="1" applyBorder="1" applyAlignment="1" applyProtection="1">
      <alignment horizontal="center" vertical="center" wrapText="1"/>
    </xf>
    <xf numFmtId="2" fontId="54" fillId="11" borderId="0" xfId="4" applyNumberFormat="1" applyFont="1" applyBorder="1" applyAlignment="1" applyProtection="1">
      <alignment horizontal="center" vertical="center"/>
      <protection locked="0"/>
    </xf>
    <xf numFmtId="0" fontId="43" fillId="0" borderId="60" xfId="0" applyFont="1" applyBorder="1" applyAlignment="1" applyProtection="1">
      <alignment horizontal="left" vertical="top"/>
      <protection locked="0"/>
    </xf>
    <xf numFmtId="2" fontId="32" fillId="7" borderId="18" xfId="0" applyNumberFormat="1" applyFont="1" applyFill="1" applyBorder="1" applyAlignment="1" applyProtection="1">
      <alignment horizontal="center" vertical="center"/>
    </xf>
    <xf numFmtId="0" fontId="29" fillId="0" borderId="0" xfId="0" applyFont="1" applyAlignment="1" applyProtection="1">
      <alignment horizontal="left" vertical="top" wrapText="1"/>
      <protection locked="0"/>
    </xf>
    <xf numFmtId="0" fontId="8" fillId="0" borderId="0" xfId="0" applyFont="1" applyAlignment="1" applyProtection="1">
      <alignment horizontal="left" vertical="center" wrapText="1"/>
      <protection locked="0"/>
    </xf>
    <xf numFmtId="0" fontId="8" fillId="0" borderId="0" xfId="0" applyFont="1" applyAlignment="1" applyProtection="1">
      <alignment horizontal="left" wrapText="1"/>
      <protection locked="0"/>
    </xf>
    <xf numFmtId="0" fontId="9" fillId="0" borderId="23" xfId="0" applyFont="1" applyBorder="1" applyAlignment="1" applyProtection="1">
      <alignment horizontal="left"/>
    </xf>
    <xf numFmtId="0" fontId="9" fillId="0" borderId="24" xfId="0" applyFont="1" applyBorder="1" applyAlignment="1" applyProtection="1">
      <alignment horizontal="left"/>
    </xf>
    <xf numFmtId="0" fontId="9" fillId="0" borderId="51" xfId="0" applyFont="1" applyFill="1" applyBorder="1" applyAlignment="1" applyProtection="1">
      <alignment horizontal="left" vertical="top" wrapText="1"/>
    </xf>
    <xf numFmtId="0" fontId="9" fillId="0" borderId="34" xfId="0" applyFont="1" applyFill="1" applyBorder="1" applyAlignment="1" applyProtection="1">
      <alignment horizontal="left" vertical="top" wrapText="1"/>
    </xf>
    <xf numFmtId="0" fontId="9" fillId="0" borderId="27" xfId="0" applyFont="1" applyFill="1" applyBorder="1" applyAlignment="1" applyProtection="1">
      <alignment horizontal="left" vertical="center" wrapText="1"/>
    </xf>
    <xf numFmtId="0" fontId="9" fillId="0" borderId="28" xfId="0" applyFont="1" applyFill="1" applyBorder="1" applyAlignment="1" applyProtection="1">
      <alignment horizontal="left" vertical="center" wrapText="1"/>
    </xf>
    <xf numFmtId="0" fontId="9" fillId="4" borderId="3" xfId="0" applyFont="1" applyFill="1" applyBorder="1" applyAlignment="1" applyProtection="1">
      <alignment horizontal="left" vertical="top" wrapText="1"/>
      <protection locked="0"/>
    </xf>
    <xf numFmtId="0" fontId="9" fillId="4" borderId="2" xfId="0" applyFont="1" applyFill="1" applyBorder="1" applyAlignment="1" applyProtection="1">
      <alignment horizontal="left" vertical="top" wrapText="1"/>
      <protection locked="0"/>
    </xf>
    <xf numFmtId="0" fontId="9" fillId="0" borderId="23" xfId="0" applyFont="1" applyFill="1" applyBorder="1" applyAlignment="1" applyProtection="1">
      <alignment horizontal="left"/>
    </xf>
    <xf numFmtId="0" fontId="9" fillId="0" borderId="24" xfId="0" applyFont="1" applyFill="1" applyBorder="1" applyAlignment="1" applyProtection="1">
      <alignment horizontal="left"/>
    </xf>
    <xf numFmtId="0" fontId="9" fillId="0" borderId="27" xfId="0" applyFont="1" applyBorder="1" applyAlignment="1" applyProtection="1">
      <alignment horizontal="left"/>
    </xf>
    <xf numFmtId="0" fontId="9" fillId="0" borderId="28" xfId="0" applyFont="1" applyBorder="1" applyAlignment="1" applyProtection="1">
      <alignment horizontal="left"/>
    </xf>
    <xf numFmtId="0" fontId="9" fillId="0" borderId="25" xfId="0" applyFont="1" applyFill="1" applyBorder="1" applyAlignment="1" applyProtection="1">
      <alignment horizontal="left"/>
    </xf>
    <xf numFmtId="0" fontId="9" fillId="0" borderId="26" xfId="0" applyFont="1" applyFill="1" applyBorder="1" applyAlignment="1" applyProtection="1">
      <alignment horizontal="left"/>
    </xf>
    <xf numFmtId="0" fontId="9" fillId="0" borderId="20" xfId="0" applyFont="1" applyBorder="1" applyAlignment="1" applyProtection="1">
      <alignment horizontal="left" vertical="top" wrapText="1"/>
    </xf>
    <xf numFmtId="0" fontId="9" fillId="0" borderId="22" xfId="0" applyFont="1" applyBorder="1" applyAlignment="1" applyProtection="1">
      <alignment horizontal="left" vertical="top" wrapText="1"/>
    </xf>
    <xf numFmtId="0" fontId="9" fillId="0" borderId="20" xfId="0" applyFont="1" applyFill="1" applyBorder="1" applyAlignment="1" applyProtection="1">
      <alignment horizontal="left" vertical="top" wrapText="1"/>
    </xf>
    <xf numFmtId="0" fontId="9" fillId="0" borderId="22" xfId="0" applyFont="1" applyFill="1" applyBorder="1" applyAlignment="1" applyProtection="1">
      <alignment horizontal="left" vertical="top"/>
    </xf>
    <xf numFmtId="0" fontId="16" fillId="0" borderId="20" xfId="0" applyFont="1" applyBorder="1" applyAlignment="1">
      <alignment horizontal="left" vertical="top" wrapText="1"/>
    </xf>
    <xf numFmtId="0" fontId="16" fillId="0" borderId="22" xfId="0" applyFont="1" applyBorder="1" applyAlignment="1">
      <alignment horizontal="left" vertical="top" wrapText="1"/>
    </xf>
    <xf numFmtId="0" fontId="9" fillId="0" borderId="27" xfId="0" applyFont="1" applyBorder="1" applyAlignment="1" applyProtection="1">
      <alignment horizontal="left" wrapText="1"/>
    </xf>
    <xf numFmtId="0" fontId="9" fillId="0" borderId="28" xfId="0" applyFont="1" applyBorder="1" applyAlignment="1" applyProtection="1">
      <alignment horizontal="left" wrapText="1"/>
    </xf>
    <xf numFmtId="0" fontId="9" fillId="0" borderId="21" xfId="0" applyFont="1" applyFill="1" applyBorder="1" applyAlignment="1" applyProtection="1">
      <alignment horizontal="left" vertical="center" wrapText="1"/>
    </xf>
    <xf numFmtId="0" fontId="9" fillId="0" borderId="8" xfId="0" applyFont="1" applyFill="1" applyBorder="1" applyAlignment="1" applyProtection="1">
      <alignment horizontal="left" vertical="center" wrapText="1"/>
    </xf>
    <xf numFmtId="0" fontId="0" fillId="0" borderId="0" xfId="0" applyBorder="1" applyAlignment="1" applyProtection="1">
      <alignment horizontal="center"/>
    </xf>
    <xf numFmtId="0" fontId="9" fillId="0" borderId="21" xfId="0" applyFont="1" applyBorder="1" applyAlignment="1" applyProtection="1">
      <alignment horizontal="left"/>
    </xf>
    <xf numFmtId="0" fontId="9" fillId="0" borderId="8" xfId="0" applyFont="1" applyBorder="1" applyAlignment="1" applyProtection="1">
      <alignment horizontal="left"/>
    </xf>
    <xf numFmtId="0" fontId="9" fillId="0" borderId="22" xfId="0" applyFont="1" applyFill="1" applyBorder="1" applyAlignment="1" applyProtection="1">
      <alignment horizontal="left" vertical="top" wrapText="1"/>
    </xf>
    <xf numFmtId="0" fontId="9" fillId="4" borderId="48" xfId="0" applyFont="1" applyFill="1" applyBorder="1" applyAlignment="1" applyProtection="1">
      <alignment horizontal="left" vertical="top" wrapText="1"/>
      <protection locked="0"/>
    </xf>
    <xf numFmtId="0" fontId="14" fillId="0" borderId="21" xfId="0"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35" fillId="0" borderId="0" xfId="0" applyFont="1" applyBorder="1" applyAlignment="1" applyProtection="1">
      <alignment horizontal="center"/>
    </xf>
    <xf numFmtId="0" fontId="29" fillId="5" borderId="34" xfId="0" applyFont="1" applyFill="1" applyBorder="1" applyAlignment="1" applyProtection="1">
      <alignment horizontal="center" vertical="center" wrapText="1"/>
    </xf>
    <xf numFmtId="0" fontId="30" fillId="0" borderId="20" xfId="0" applyFont="1" applyBorder="1" applyAlignment="1" applyProtection="1">
      <alignment horizontal="left" vertical="top" wrapText="1"/>
    </xf>
    <xf numFmtId="0" fontId="30" fillId="0" borderId="22" xfId="0" applyFont="1" applyBorder="1" applyAlignment="1" applyProtection="1">
      <alignment horizontal="left" vertical="top" wrapText="1"/>
    </xf>
    <xf numFmtId="0" fontId="36" fillId="0" borderId="31" xfId="0" applyFont="1" applyBorder="1" applyAlignment="1" applyProtection="1">
      <alignment horizontal="left" vertical="top" wrapText="1"/>
    </xf>
    <xf numFmtId="0" fontId="36" fillId="0" borderId="32" xfId="0" applyFont="1" applyBorder="1" applyAlignment="1" applyProtection="1">
      <alignment horizontal="left" vertical="top" wrapText="1"/>
    </xf>
    <xf numFmtId="0" fontId="16" fillId="0" borderId="20" xfId="0" applyFont="1" applyBorder="1" applyAlignment="1" applyProtection="1">
      <alignment horizontal="left" vertical="top" wrapText="1"/>
    </xf>
    <xf numFmtId="0" fontId="16" fillId="0" borderId="22" xfId="0" applyFont="1" applyBorder="1" applyAlignment="1" applyProtection="1">
      <alignment horizontal="left" vertical="top" wrapText="1"/>
    </xf>
    <xf numFmtId="0" fontId="9" fillId="0" borderId="25" xfId="0" applyFont="1" applyBorder="1" applyAlignment="1" applyProtection="1">
      <alignment horizontal="left"/>
    </xf>
    <xf numFmtId="0" fontId="9" fillId="0" borderId="26" xfId="0" applyFont="1" applyBorder="1" applyAlignment="1" applyProtection="1">
      <alignment horizontal="left"/>
    </xf>
    <xf numFmtId="0" fontId="36" fillId="0" borderId="20" xfId="0" applyFont="1" applyBorder="1" applyAlignment="1" applyProtection="1">
      <alignment horizontal="left" vertical="top" wrapText="1"/>
    </xf>
    <xf numFmtId="0" fontId="36" fillId="0" borderId="22" xfId="0" applyFont="1" applyBorder="1" applyAlignment="1" applyProtection="1">
      <alignment horizontal="left" vertical="top" wrapText="1"/>
    </xf>
    <xf numFmtId="0" fontId="9" fillId="0" borderId="21"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9" fillId="0" borderId="27" xfId="0" applyFont="1" applyFill="1" applyBorder="1" applyAlignment="1" applyProtection="1">
      <alignment horizontal="left" vertical="top" wrapText="1"/>
    </xf>
    <xf numFmtId="0" fontId="9" fillId="0" borderId="28" xfId="0" applyFont="1" applyFill="1" applyBorder="1" applyAlignment="1" applyProtection="1">
      <alignment horizontal="left" vertical="top" wrapText="1"/>
    </xf>
    <xf numFmtId="0" fontId="9" fillId="0" borderId="31" xfId="0" applyFont="1" applyBorder="1" applyAlignment="1" applyProtection="1">
      <alignment horizontal="left" vertical="top" wrapText="1"/>
    </xf>
    <xf numFmtId="0" fontId="9" fillId="0" borderId="33" xfId="0" applyFont="1" applyBorder="1" applyAlignment="1" applyProtection="1">
      <alignment horizontal="left" vertical="top" wrapText="1"/>
    </xf>
    <xf numFmtId="0" fontId="9" fillId="0" borderId="31" xfId="0" applyFont="1" applyFill="1" applyBorder="1" applyAlignment="1" applyProtection="1">
      <alignment horizontal="left" vertical="top" wrapText="1"/>
    </xf>
    <xf numFmtId="0" fontId="9" fillId="0" borderId="32" xfId="0" applyFont="1" applyFill="1" applyBorder="1" applyAlignment="1" applyProtection="1">
      <alignment horizontal="left" vertical="top" wrapText="1"/>
    </xf>
    <xf numFmtId="0" fontId="9" fillId="0" borderId="23" xfId="0" applyFont="1" applyBorder="1" applyAlignment="1" applyProtection="1">
      <alignment horizontal="left" vertical="center"/>
    </xf>
    <xf numFmtId="0" fontId="9" fillId="0" borderId="24" xfId="0" applyFont="1" applyBorder="1" applyAlignment="1" applyProtection="1">
      <alignment horizontal="left" vertical="center"/>
    </xf>
    <xf numFmtId="0" fontId="9" fillId="0" borderId="21" xfId="0" applyFont="1" applyBorder="1" applyAlignment="1" applyProtection="1">
      <alignment horizontal="left" vertical="center"/>
    </xf>
    <xf numFmtId="0" fontId="9" fillId="0" borderId="8" xfId="0" applyFont="1" applyBorder="1" applyAlignment="1" applyProtection="1">
      <alignment horizontal="left" vertical="center"/>
    </xf>
    <xf numFmtId="0" fontId="9" fillId="0" borderId="32" xfId="0" applyFont="1" applyBorder="1" applyAlignment="1" applyProtection="1">
      <alignment horizontal="left" vertical="top" wrapText="1"/>
    </xf>
    <xf numFmtId="0" fontId="9" fillId="0" borderId="31" xfId="0" applyFont="1" applyBorder="1" applyAlignment="1" applyProtection="1">
      <alignment horizontal="left" vertical="top"/>
    </xf>
    <xf numFmtId="0" fontId="9" fillId="0" borderId="32" xfId="0" applyFont="1" applyBorder="1" applyAlignment="1" applyProtection="1">
      <alignment horizontal="left" vertical="top"/>
    </xf>
    <xf numFmtId="0" fontId="9" fillId="0" borderId="15" xfId="0" applyFont="1" applyBorder="1" applyAlignment="1" applyProtection="1">
      <alignment horizontal="left" vertical="top" wrapText="1"/>
    </xf>
    <xf numFmtId="0" fontId="9" fillId="0" borderId="16" xfId="0" applyFont="1" applyBorder="1" applyAlignment="1" applyProtection="1">
      <alignment horizontal="left" vertical="top" wrapText="1"/>
    </xf>
    <xf numFmtId="0" fontId="9" fillId="0" borderId="17" xfId="0" applyFont="1" applyBorder="1" applyAlignment="1" applyProtection="1">
      <alignment horizontal="left" vertical="top" wrapText="1"/>
    </xf>
    <xf numFmtId="0" fontId="9" fillId="0" borderId="27" xfId="0" applyFont="1" applyFill="1" applyBorder="1" applyAlignment="1" applyProtection="1">
      <alignment horizontal="left" vertical="center"/>
    </xf>
    <xf numFmtId="0" fontId="9" fillId="0" borderId="28" xfId="0" applyFont="1" applyFill="1" applyBorder="1" applyAlignment="1" applyProtection="1">
      <alignment horizontal="left" vertical="center"/>
    </xf>
    <xf numFmtId="0" fontId="38" fillId="0" borderId="20" xfId="0" applyFont="1" applyFill="1" applyBorder="1" applyAlignment="1" applyProtection="1">
      <alignment horizontal="left" vertical="top" wrapText="1"/>
    </xf>
    <xf numFmtId="0" fontId="11" fillId="0" borderId="52" xfId="0" applyFont="1" applyFill="1" applyBorder="1" applyAlignment="1" applyProtection="1">
      <alignment horizontal="center" vertical="center" wrapText="1"/>
    </xf>
    <xf numFmtId="0" fontId="11" fillId="0" borderId="53" xfId="0" applyFont="1" applyFill="1" applyBorder="1" applyAlignment="1" applyProtection="1">
      <alignment horizontal="center" vertical="center" wrapText="1"/>
    </xf>
    <xf numFmtId="0" fontId="11" fillId="0" borderId="46" xfId="0" applyFont="1" applyBorder="1" applyAlignment="1" applyProtection="1">
      <alignment horizontal="center" vertical="center" wrapText="1"/>
    </xf>
    <xf numFmtId="0" fontId="11" fillId="0" borderId="47"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13"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8" fillId="0" borderId="21" xfId="0" applyFont="1" applyBorder="1" applyAlignment="1" applyProtection="1">
      <alignment horizontal="center" vertical="center" wrapText="1"/>
    </xf>
    <xf numFmtId="0" fontId="8" fillId="0" borderId="22" xfId="0" applyFont="1" applyBorder="1" applyAlignment="1" applyProtection="1">
      <alignment vertical="center" wrapText="1"/>
    </xf>
    <xf numFmtId="0" fontId="8" fillId="0" borderId="8" xfId="0" applyFont="1" applyBorder="1" applyAlignment="1" applyProtection="1">
      <alignment vertical="center" wrapText="1"/>
    </xf>
    <xf numFmtId="0" fontId="8" fillId="0" borderId="0" xfId="0" applyFont="1" applyAlignment="1" applyProtection="1">
      <alignment horizontal="center"/>
      <protection locked="0"/>
    </xf>
    <xf numFmtId="0" fontId="15" fillId="0" borderId="0" xfId="0" applyFont="1" applyAlignment="1" applyProtection="1">
      <alignment horizontal="left" vertical="top" wrapText="1"/>
      <protection locked="0"/>
    </xf>
    <xf numFmtId="0" fontId="9" fillId="0" borderId="23" xfId="0" applyFont="1" applyBorder="1" applyAlignment="1" applyProtection="1">
      <alignment horizontal="left" vertical="top"/>
    </xf>
    <xf numFmtId="0" fontId="9" fillId="0" borderId="24" xfId="0" applyFont="1" applyBorder="1" applyAlignment="1" applyProtection="1">
      <alignment horizontal="left" vertical="top"/>
    </xf>
    <xf numFmtId="0" fontId="9" fillId="0" borderId="20" xfId="0" applyFont="1" applyBorder="1" applyAlignment="1" applyProtection="1">
      <alignment horizontal="left" vertical="top"/>
    </xf>
    <xf numFmtId="0" fontId="9" fillId="0" borderId="22" xfId="0" applyFont="1" applyBorder="1" applyAlignment="1" applyProtection="1">
      <alignment horizontal="left" vertical="top"/>
    </xf>
    <xf numFmtId="0" fontId="9" fillId="0" borderId="27" xfId="0" applyFont="1" applyFill="1" applyBorder="1" applyAlignment="1" applyProtection="1">
      <alignment horizontal="left"/>
    </xf>
    <xf numFmtId="0" fontId="9" fillId="0" borderId="28" xfId="0" applyFont="1" applyFill="1" applyBorder="1" applyAlignment="1" applyProtection="1">
      <alignment horizontal="left"/>
    </xf>
    <xf numFmtId="0" fontId="9" fillId="0" borderId="31" xfId="0" applyFont="1" applyBorder="1" applyAlignment="1">
      <alignment horizontal="left" vertical="top"/>
    </xf>
    <xf numFmtId="0" fontId="9" fillId="0" borderId="32" xfId="0" applyFont="1" applyBorder="1" applyAlignment="1">
      <alignment horizontal="left" vertical="top"/>
    </xf>
    <xf numFmtId="0" fontId="9" fillId="0" borderId="20" xfId="0" applyFont="1" applyBorder="1" applyAlignment="1">
      <alignment horizontal="left" vertical="top"/>
    </xf>
    <xf numFmtId="0" fontId="9" fillId="0" borderId="22" xfId="0" applyFont="1" applyBorder="1" applyAlignment="1">
      <alignment horizontal="left" vertical="top"/>
    </xf>
    <xf numFmtId="0" fontId="9" fillId="0" borderId="20" xfId="0" applyFont="1" applyBorder="1" applyAlignment="1">
      <alignment horizontal="left" vertical="top" wrapText="1"/>
    </xf>
    <xf numFmtId="0" fontId="9" fillId="0" borderId="22" xfId="0" applyFont="1" applyBorder="1" applyAlignment="1">
      <alignment horizontal="left" vertical="top" wrapText="1"/>
    </xf>
    <xf numFmtId="0" fontId="30" fillId="0" borderId="20" xfId="0" applyFont="1" applyBorder="1" applyAlignment="1">
      <alignment horizontal="left" vertical="top" wrapText="1"/>
    </xf>
    <xf numFmtId="0" fontId="30" fillId="0" borderId="22" xfId="0" applyFont="1" applyBorder="1" applyAlignment="1">
      <alignment horizontal="left" vertical="top" wrapText="1"/>
    </xf>
    <xf numFmtId="0" fontId="9" fillId="0" borderId="23" xfId="0" applyFont="1" applyFill="1" applyBorder="1" applyAlignment="1" applyProtection="1">
      <alignment horizontal="left" vertical="center"/>
    </xf>
    <xf numFmtId="0" fontId="9" fillId="0" borderId="24" xfId="0" applyFont="1" applyFill="1" applyBorder="1" applyAlignment="1" applyProtection="1">
      <alignment horizontal="left" vertical="center"/>
    </xf>
    <xf numFmtId="0" fontId="16" fillId="0" borderId="21" xfId="0" applyFont="1" applyBorder="1" applyAlignment="1">
      <alignment horizontal="left" wrapText="1"/>
    </xf>
    <xf numFmtId="0" fontId="16" fillId="0" borderId="8" xfId="0" applyFont="1" applyBorder="1" applyAlignment="1">
      <alignment horizontal="left" wrapText="1"/>
    </xf>
    <xf numFmtId="0" fontId="15" fillId="0" borderId="0" xfId="0" applyFont="1" applyAlignment="1" applyProtection="1">
      <alignment horizontal="center" wrapText="1"/>
      <protection locked="0"/>
    </xf>
    <xf numFmtId="0" fontId="15" fillId="0" borderId="0" xfId="0" applyFont="1" applyAlignment="1" applyProtection="1">
      <alignment horizontal="center"/>
      <protection locked="0"/>
    </xf>
    <xf numFmtId="0" fontId="8" fillId="0" borderId="0" xfId="0" applyFont="1" applyAlignment="1" applyProtection="1">
      <alignment horizontal="left" vertical="top" wrapText="1"/>
      <protection locked="0"/>
    </xf>
    <xf numFmtId="0" fontId="8" fillId="0" borderId="0" xfId="0" applyFont="1" applyBorder="1" applyAlignment="1" applyProtection="1">
      <alignment horizontal="left" vertical="top" wrapText="1"/>
      <protection locked="0"/>
    </xf>
    <xf numFmtId="0" fontId="8" fillId="0" borderId="0" xfId="0" applyFont="1" applyAlignment="1" applyProtection="1">
      <alignment horizontal="center" vertical="top" wrapText="1"/>
      <protection locked="0"/>
    </xf>
    <xf numFmtId="0" fontId="8" fillId="0" borderId="0" xfId="0" applyFont="1" applyBorder="1" applyAlignment="1" applyProtection="1">
      <alignment horizontal="justify"/>
      <protection locked="0"/>
    </xf>
    <xf numFmtId="0" fontId="0" fillId="0" borderId="0" xfId="0" applyBorder="1" applyAlignment="1" applyProtection="1">
      <protection locked="0"/>
    </xf>
    <xf numFmtId="0" fontId="0" fillId="0" borderId="0" xfId="0" applyAlignment="1" applyProtection="1">
      <protection locked="0"/>
    </xf>
    <xf numFmtId="0" fontId="8" fillId="0" borderId="0" xfId="0" applyFont="1" applyBorder="1" applyAlignment="1" applyProtection="1">
      <alignment horizontal="justify"/>
    </xf>
    <xf numFmtId="0" fontId="0" fillId="0" borderId="0" xfId="0" applyBorder="1" applyAlignment="1" applyProtection="1"/>
    <xf numFmtId="0" fontId="15" fillId="0" borderId="0" xfId="0" applyFont="1" applyAlignment="1" applyProtection="1">
      <alignment horizontal="center" vertical="top" wrapText="1"/>
      <protection locked="0"/>
    </xf>
    <xf numFmtId="0" fontId="8" fillId="0" borderId="0" xfId="0" applyFont="1" applyAlignment="1" applyProtection="1">
      <alignment horizontal="left" vertical="top"/>
      <protection locked="0"/>
    </xf>
    <xf numFmtId="0" fontId="42" fillId="0" borderId="18" xfId="0" applyFont="1" applyBorder="1" applyAlignment="1" applyProtection="1">
      <alignment horizontal="center" vertical="center"/>
    </xf>
    <xf numFmtId="0" fontId="42" fillId="0" borderId="13" xfId="0" applyFont="1" applyBorder="1" applyAlignment="1" applyProtection="1">
      <alignment horizontal="center" vertical="center"/>
    </xf>
    <xf numFmtId="0" fontId="54" fillId="9" borderId="12" xfId="2" applyFont="1" applyBorder="1" applyAlignment="1" applyProtection="1">
      <alignment horizontal="center" vertical="center"/>
    </xf>
    <xf numFmtId="0" fontId="10" fillId="0" borderId="20" xfId="0" applyFont="1" applyBorder="1" applyAlignment="1" applyProtection="1">
      <alignment horizontal="center" vertical="center" wrapText="1"/>
    </xf>
    <xf numFmtId="0" fontId="10" fillId="0" borderId="21" xfId="0" applyFont="1" applyBorder="1" applyAlignment="1" applyProtection="1">
      <alignment horizontal="center" vertical="center" wrapText="1"/>
    </xf>
    <xf numFmtId="0" fontId="10" fillId="0" borderId="23" xfId="0" applyFont="1" applyBorder="1" applyAlignment="1" applyProtection="1">
      <alignment horizontal="center" vertical="center" wrapText="1"/>
    </xf>
    <xf numFmtId="0" fontId="10" fillId="0" borderId="22" xfId="0" applyFont="1" applyBorder="1" applyAlignment="1" applyProtection="1">
      <alignment horizontal="center" vertical="center" wrapText="1"/>
    </xf>
    <xf numFmtId="0" fontId="10" fillId="0" borderId="8" xfId="0" applyFont="1" applyBorder="1" applyAlignment="1" applyProtection="1">
      <alignment horizontal="center" vertical="center" wrapText="1"/>
    </xf>
    <xf numFmtId="0" fontId="10" fillId="0" borderId="24" xfId="0" applyFont="1" applyBorder="1" applyAlignment="1" applyProtection="1">
      <alignment horizontal="center" vertical="center" wrapText="1"/>
    </xf>
    <xf numFmtId="0" fontId="54" fillId="9" borderId="24" xfId="2" applyFont="1" applyBorder="1" applyAlignment="1" applyProtection="1">
      <alignment horizontal="center" vertical="center" wrapText="1"/>
    </xf>
    <xf numFmtId="0" fontId="10" fillId="0" borderId="18" xfId="0" applyFont="1" applyBorder="1" applyAlignment="1" applyProtection="1">
      <alignment horizontal="center" vertical="center" wrapText="1"/>
    </xf>
    <xf numFmtId="0" fontId="10" fillId="0" borderId="13" xfId="0" applyFont="1" applyBorder="1" applyAlignment="1" applyProtection="1">
      <alignment horizontal="center" vertical="center" wrapText="1"/>
    </xf>
    <xf numFmtId="0" fontId="54" fillId="9" borderId="12" xfId="2" applyFont="1" applyBorder="1" applyAlignment="1" applyProtection="1">
      <alignment horizontal="center" vertical="center" wrapText="1"/>
    </xf>
    <xf numFmtId="0" fontId="42" fillId="0" borderId="20" xfId="0" applyFont="1" applyBorder="1" applyAlignment="1" applyProtection="1">
      <alignment horizontal="center" vertical="center" wrapText="1"/>
    </xf>
    <xf numFmtId="0" fontId="42" fillId="0" borderId="22" xfId="0" applyFont="1" applyBorder="1" applyAlignment="1" applyProtection="1">
      <alignment horizontal="center" vertical="center" wrapText="1"/>
    </xf>
    <xf numFmtId="0" fontId="20" fillId="0" borderId="20"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20" fillId="0" borderId="18" xfId="0" applyFont="1" applyBorder="1" applyAlignment="1" applyProtection="1">
      <alignment horizontal="center" vertical="center"/>
    </xf>
    <xf numFmtId="0" fontId="8" fillId="0" borderId="0" xfId="0" applyFont="1" applyAlignment="1" applyProtection="1">
      <alignment horizontal="left"/>
      <protection locked="0"/>
    </xf>
    <xf numFmtId="0" fontId="17" fillId="0" borderId="5" xfId="0" applyFont="1" applyBorder="1" applyAlignment="1">
      <alignment horizontal="left" vertical="top" wrapText="1"/>
    </xf>
    <xf numFmtId="0" fontId="0" fillId="0" borderId="6" xfId="0" applyBorder="1" applyAlignment="1">
      <alignment horizontal="left"/>
    </xf>
    <xf numFmtId="0" fontId="0" fillId="0" borderId="7" xfId="0" applyBorder="1" applyAlignment="1">
      <alignment horizontal="left"/>
    </xf>
    <xf numFmtId="0" fontId="17" fillId="0" borderId="29" xfId="0" applyFont="1" applyBorder="1" applyAlignment="1">
      <alignment horizontal="left" vertical="top" wrapText="1"/>
    </xf>
    <xf numFmtId="0" fontId="0" fillId="0" borderId="0" xfId="0" applyBorder="1" applyAlignment="1">
      <alignment horizontal="left"/>
    </xf>
    <xf numFmtId="0" fontId="54" fillId="9" borderId="0" xfId="2" applyFont="1" applyBorder="1" applyAlignment="1">
      <alignment horizontal="left"/>
    </xf>
    <xf numFmtId="0" fontId="54" fillId="9" borderId="40" xfId="2" applyFont="1" applyBorder="1" applyAlignment="1">
      <alignment horizontal="left"/>
    </xf>
    <xf numFmtId="0" fontId="0" fillId="0" borderId="40" xfId="0" applyBorder="1" applyAlignment="1">
      <alignment horizontal="left"/>
    </xf>
    <xf numFmtId="0" fontId="17" fillId="0" borderId="41" xfId="0" applyFont="1" applyBorder="1" applyAlignment="1">
      <alignment horizontal="left" vertical="top" wrapText="1"/>
    </xf>
    <xf numFmtId="0" fontId="0" fillId="0" borderId="11" xfId="0" applyBorder="1" applyAlignment="1">
      <alignment horizontal="left"/>
    </xf>
    <xf numFmtId="0" fontId="0" fillId="0" borderId="1" xfId="0" applyBorder="1" applyAlignment="1">
      <alignment horizontal="left"/>
    </xf>
    <xf numFmtId="0" fontId="15" fillId="0" borderId="0" xfId="0" applyFont="1" applyAlignment="1">
      <alignment horizontal="left" vertical="top" wrapText="1"/>
    </xf>
    <xf numFmtId="0" fontId="8" fillId="0" borderId="0" xfId="0" applyFont="1" applyAlignment="1">
      <alignment horizontal="left" wrapText="1"/>
    </xf>
    <xf numFmtId="0" fontId="8" fillId="0" borderId="0" xfId="0" applyFont="1" applyAlignment="1">
      <alignment horizontal="left" vertical="top" wrapText="1"/>
    </xf>
    <xf numFmtId="0" fontId="54" fillId="10" borderId="6" xfId="3" applyFont="1" applyBorder="1" applyAlignment="1">
      <alignment horizontal="left"/>
    </xf>
    <xf numFmtId="0" fontId="54" fillId="10" borderId="7" xfId="3" applyFont="1" applyBorder="1" applyAlignment="1">
      <alignment horizontal="left"/>
    </xf>
    <xf numFmtId="0" fontId="54" fillId="10" borderId="0" xfId="3" applyFont="1" applyBorder="1" applyAlignment="1">
      <alignment horizontal="left"/>
    </xf>
    <xf numFmtId="0" fontId="54" fillId="10" borderId="40" xfId="3" applyFont="1" applyBorder="1" applyAlignment="1">
      <alignment horizontal="left"/>
    </xf>
    <xf numFmtId="0" fontId="54" fillId="11" borderId="0" xfId="4" applyFont="1" applyBorder="1" applyAlignment="1">
      <alignment horizontal="left"/>
    </xf>
    <xf numFmtId="0" fontId="54" fillId="11" borderId="40" xfId="4" applyFont="1" applyBorder="1" applyAlignment="1">
      <alignment horizontal="left"/>
    </xf>
    <xf numFmtId="0" fontId="54" fillId="11" borderId="11" xfId="4" applyFont="1" applyBorder="1" applyAlignment="1">
      <alignment horizontal="left"/>
    </xf>
    <xf numFmtId="0" fontId="54" fillId="11" borderId="1" xfId="4" applyFont="1" applyBorder="1" applyAlignment="1">
      <alignment horizontal="left"/>
    </xf>
    <xf numFmtId="0" fontId="17" fillId="0" borderId="5" xfId="0" applyFont="1" applyBorder="1" applyAlignment="1">
      <alignment horizontal="left" vertical="top"/>
    </xf>
    <xf numFmtId="0" fontId="0" fillId="0" borderId="6" xfId="0" applyBorder="1" applyAlignment="1">
      <alignment horizontal="left" vertical="top"/>
    </xf>
    <xf numFmtId="0" fontId="54" fillId="11" borderId="6" xfId="4" applyFont="1" applyBorder="1" applyAlignment="1">
      <alignment horizontal="left" vertical="top"/>
    </xf>
    <xf numFmtId="0" fontId="54" fillId="11" borderId="7" xfId="4" applyFont="1" applyBorder="1" applyAlignment="1">
      <alignment horizontal="left" vertical="top"/>
    </xf>
    <xf numFmtId="0" fontId="0" fillId="0" borderId="29" xfId="0" applyBorder="1" applyAlignment="1">
      <alignment horizontal="left" vertical="top"/>
    </xf>
    <xf numFmtId="0" fontId="0" fillId="0" borderId="0" xfId="0" applyBorder="1" applyAlignment="1">
      <alignment horizontal="left" vertical="top"/>
    </xf>
    <xf numFmtId="0" fontId="0" fillId="0" borderId="40" xfId="0" applyBorder="1" applyAlignment="1">
      <alignment horizontal="left" vertical="top"/>
    </xf>
    <xf numFmtId="0" fontId="0" fillId="0" borderId="41" xfId="0" applyBorder="1" applyAlignment="1">
      <alignment horizontal="left" vertical="top"/>
    </xf>
    <xf numFmtId="0" fontId="0" fillId="0" borderId="11" xfId="0" applyBorder="1" applyAlignment="1">
      <alignment horizontal="left" vertical="top"/>
    </xf>
    <xf numFmtId="0" fontId="0" fillId="0" borderId="1" xfId="0" applyBorder="1" applyAlignment="1">
      <alignment horizontal="left" vertical="top"/>
    </xf>
    <xf numFmtId="0" fontId="18" fillId="0" borderId="0" xfId="0" applyFont="1" applyAlignment="1">
      <alignment horizontal="left"/>
    </xf>
    <xf numFmtId="0" fontId="0" fillId="0" borderId="0" xfId="0" applyAlignment="1"/>
    <xf numFmtId="0" fontId="0" fillId="0" borderId="31" xfId="0" applyBorder="1" applyAlignment="1">
      <alignment horizontal="center" vertical="center"/>
    </xf>
    <xf numFmtId="0" fontId="0" fillId="0" borderId="57" xfId="0" applyBorder="1" applyAlignment="1">
      <alignment horizontal="center" vertical="center"/>
    </xf>
    <xf numFmtId="0" fontId="52" fillId="0" borderId="46" xfId="0" applyFont="1" applyBorder="1" applyAlignment="1">
      <alignment horizontal="center" vertical="center"/>
    </xf>
    <xf numFmtId="0" fontId="52" fillId="0" borderId="58" xfId="0" applyFont="1" applyBorder="1" applyAlignment="1">
      <alignment horizontal="center" vertical="center"/>
    </xf>
    <xf numFmtId="0" fontId="52" fillId="0" borderId="0" xfId="0" applyFont="1" applyBorder="1" applyAlignment="1">
      <alignment horizontal="center" vertical="center"/>
    </xf>
    <xf numFmtId="0" fontId="21" fillId="0" borderId="0" xfId="0" applyFont="1" applyBorder="1" applyAlignment="1">
      <alignment horizontal="center" vertical="center"/>
    </xf>
    <xf numFmtId="0" fontId="20" fillId="0" borderId="15"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47" xfId="0" applyFont="1" applyBorder="1" applyAlignment="1">
      <alignment horizontal="center" vertical="center" wrapText="1"/>
    </xf>
    <xf numFmtId="0" fontId="20" fillId="0" borderId="15" xfId="0" applyFont="1" applyBorder="1" applyAlignment="1" applyProtection="1">
      <alignment horizontal="center" vertical="center" wrapText="1"/>
    </xf>
    <xf numFmtId="0" fontId="20" fillId="0" borderId="16"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49" xfId="0" applyFont="1" applyBorder="1" applyAlignment="1">
      <alignment horizontal="center" vertical="center" wrapText="1"/>
    </xf>
    <xf numFmtId="0" fontId="54" fillId="9" borderId="42" xfId="2" applyFont="1" applyBorder="1" applyAlignment="1" applyProtection="1">
      <alignment horizontal="left"/>
    </xf>
    <xf numFmtId="0" fontId="54" fillId="9" borderId="9" xfId="2" applyFont="1" applyBorder="1" applyAlignment="1" applyProtection="1">
      <alignment horizontal="left"/>
    </xf>
    <xf numFmtId="0" fontId="20" fillId="0" borderId="15" xfId="0" applyFont="1" applyBorder="1" applyAlignment="1" applyProtection="1">
      <alignment horizontal="center" vertical="center"/>
    </xf>
    <xf numFmtId="0" fontId="0" fillId="0" borderId="14" xfId="0" applyBorder="1" applyAlignment="1" applyProtection="1">
      <alignment horizontal="left"/>
    </xf>
    <xf numFmtId="0" fontId="0" fillId="0" borderId="10" xfId="0" applyBorder="1" applyAlignment="1" applyProtection="1">
      <alignment horizontal="left"/>
    </xf>
    <xf numFmtId="0" fontId="0" fillId="0" borderId="21" xfId="0" applyBorder="1" applyAlignment="1" applyProtection="1">
      <alignment horizontal="left"/>
    </xf>
    <xf numFmtId="0" fontId="0" fillId="0" borderId="8" xfId="0" applyBorder="1" applyAlignment="1" applyProtection="1">
      <alignment horizontal="left"/>
    </xf>
    <xf numFmtId="0" fontId="0" fillId="0" borderId="42" xfId="0" applyBorder="1" applyAlignment="1" applyProtection="1">
      <alignment horizontal="left"/>
    </xf>
    <xf numFmtId="0" fontId="0" fillId="0" borderId="9" xfId="0" applyBorder="1" applyAlignment="1" applyProtection="1">
      <alignment horizontal="left"/>
    </xf>
    <xf numFmtId="0" fontId="20" fillId="0" borderId="46" xfId="0" applyFont="1" applyBorder="1" applyAlignment="1" applyProtection="1">
      <alignment horizontal="center" vertical="center"/>
    </xf>
    <xf numFmtId="0" fontId="20" fillId="0" borderId="58" xfId="0" applyFont="1" applyBorder="1" applyAlignment="1" applyProtection="1">
      <alignment horizontal="center" vertical="center"/>
    </xf>
    <xf numFmtId="0" fontId="20" fillId="0" borderId="16" xfId="0" applyFont="1" applyBorder="1" applyAlignment="1" applyProtection="1">
      <alignment horizontal="center" wrapText="1"/>
    </xf>
    <xf numFmtId="0" fontId="20" fillId="0" borderId="17" xfId="0" applyFont="1" applyBorder="1" applyAlignment="1" applyProtection="1">
      <alignment horizontal="center" wrapText="1"/>
    </xf>
    <xf numFmtId="0" fontId="54" fillId="9" borderId="51" xfId="2" applyFont="1" applyBorder="1" applyAlignment="1" applyProtection="1">
      <alignment horizontal="center" vertical="center" wrapText="1"/>
    </xf>
    <xf numFmtId="0" fontId="54" fillId="9" borderId="34" xfId="2" applyFont="1" applyBorder="1" applyAlignment="1" applyProtection="1">
      <alignment horizontal="center" vertical="center"/>
    </xf>
    <xf numFmtId="0" fontId="54" fillId="9" borderId="30" xfId="2" applyFont="1" applyBorder="1" applyAlignment="1" applyProtection="1">
      <alignment horizontal="center" vertical="center"/>
    </xf>
    <xf numFmtId="0" fontId="54" fillId="9" borderId="15" xfId="2" applyFont="1" applyBorder="1" applyAlignment="1" applyProtection="1">
      <alignment horizontal="center" vertical="center"/>
    </xf>
    <xf numFmtId="0" fontId="54" fillId="9" borderId="16" xfId="2" applyFont="1" applyBorder="1" applyAlignment="1" applyProtection="1">
      <alignment horizontal="center" vertical="center"/>
    </xf>
    <xf numFmtId="0" fontId="54" fillId="9" borderId="14" xfId="2" applyFont="1" applyBorder="1" applyAlignment="1" applyProtection="1">
      <alignment horizontal="left"/>
    </xf>
    <xf numFmtId="0" fontId="54" fillId="9" borderId="10" xfId="2" applyFont="1" applyBorder="1" applyAlignment="1" applyProtection="1">
      <alignment horizontal="left"/>
    </xf>
    <xf numFmtId="0" fontId="54" fillId="9" borderId="21" xfId="2" applyFont="1" applyBorder="1" applyAlignment="1" applyProtection="1">
      <alignment horizontal="left"/>
    </xf>
    <xf numFmtId="0" fontId="54" fillId="9" borderId="8" xfId="2" applyFont="1" applyBorder="1" applyAlignment="1" applyProtection="1">
      <alignment horizontal="left"/>
    </xf>
    <xf numFmtId="0" fontId="54" fillId="11" borderId="15" xfId="4" applyFont="1" applyBorder="1" applyAlignment="1" applyProtection="1">
      <alignment horizontal="center" vertical="center"/>
    </xf>
    <xf numFmtId="0" fontId="54" fillId="11" borderId="16" xfId="4" applyFont="1" applyBorder="1" applyAlignment="1" applyProtection="1">
      <alignment horizontal="center" vertical="center"/>
    </xf>
    <xf numFmtId="0" fontId="54" fillId="9" borderId="46" xfId="2" applyFont="1" applyBorder="1" applyAlignment="1" applyProtection="1">
      <alignment horizontal="center" vertical="center"/>
    </xf>
    <xf numFmtId="0" fontId="54" fillId="9" borderId="58" xfId="2" applyFont="1" applyBorder="1" applyAlignment="1" applyProtection="1">
      <alignment horizontal="center" vertical="center"/>
    </xf>
    <xf numFmtId="0" fontId="54" fillId="9" borderId="16" xfId="2" applyFont="1" applyBorder="1" applyAlignment="1" applyProtection="1">
      <alignment horizontal="center" wrapText="1"/>
    </xf>
    <xf numFmtId="0" fontId="54" fillId="9" borderId="17" xfId="2" applyFont="1" applyBorder="1" applyAlignment="1" applyProtection="1">
      <alignment horizontal="center" wrapText="1"/>
    </xf>
    <xf numFmtId="0" fontId="54" fillId="10" borderId="51" xfId="3" applyFont="1" applyBorder="1" applyAlignment="1" applyProtection="1">
      <alignment horizontal="center" vertical="center" wrapText="1"/>
    </xf>
    <xf numFmtId="0" fontId="54" fillId="10" borderId="34" xfId="3" applyFont="1" applyBorder="1" applyAlignment="1" applyProtection="1">
      <alignment horizontal="center" vertical="center"/>
    </xf>
    <xf numFmtId="0" fontId="54" fillId="10" borderId="30" xfId="3" applyFont="1" applyBorder="1" applyAlignment="1" applyProtection="1">
      <alignment horizontal="center" vertical="center"/>
    </xf>
    <xf numFmtId="0" fontId="54" fillId="10" borderId="15" xfId="3" applyFont="1" applyBorder="1" applyAlignment="1" applyProtection="1">
      <alignment horizontal="center" vertical="center"/>
    </xf>
    <xf numFmtId="0" fontId="54" fillId="10" borderId="16" xfId="3" applyFont="1" applyBorder="1" applyAlignment="1" applyProtection="1">
      <alignment horizontal="center" vertical="center"/>
    </xf>
    <xf numFmtId="0" fontId="54" fillId="10" borderId="14" xfId="3" applyFont="1" applyBorder="1" applyAlignment="1" applyProtection="1">
      <alignment horizontal="left"/>
    </xf>
    <xf numFmtId="0" fontId="54" fillId="10" borderId="10" xfId="3" applyFont="1" applyBorder="1" applyAlignment="1" applyProtection="1">
      <alignment horizontal="left"/>
    </xf>
    <xf numFmtId="0" fontId="54" fillId="10" borderId="21" xfId="3" applyFont="1" applyBorder="1" applyAlignment="1" applyProtection="1">
      <alignment horizontal="left"/>
    </xf>
    <xf numFmtId="0" fontId="54" fillId="10" borderId="8" xfId="3" applyFont="1" applyBorder="1" applyAlignment="1" applyProtection="1">
      <alignment horizontal="left"/>
    </xf>
    <xf numFmtId="0" fontId="54" fillId="10" borderId="42" xfId="3" applyFont="1" applyBorder="1" applyAlignment="1" applyProtection="1">
      <alignment horizontal="left"/>
    </xf>
    <xf numFmtId="0" fontId="54" fillId="10" borderId="9" xfId="3" applyFont="1" applyBorder="1" applyAlignment="1" applyProtection="1">
      <alignment horizontal="left"/>
    </xf>
    <xf numFmtId="0" fontId="54" fillId="10" borderId="46" xfId="3" applyFont="1" applyBorder="1" applyAlignment="1" applyProtection="1">
      <alignment horizontal="center" vertical="center"/>
    </xf>
    <xf numFmtId="0" fontId="54" fillId="10" borderId="58" xfId="3" applyFont="1" applyBorder="1" applyAlignment="1" applyProtection="1">
      <alignment horizontal="center" vertical="center"/>
    </xf>
    <xf numFmtId="0" fontId="54" fillId="10" borderId="16" xfId="3" applyFont="1" applyBorder="1" applyAlignment="1" applyProtection="1">
      <alignment horizontal="center" wrapText="1"/>
    </xf>
    <xf numFmtId="0" fontId="54" fillId="10" borderId="17" xfId="3" applyFont="1" applyBorder="1" applyAlignment="1" applyProtection="1">
      <alignment horizontal="center" wrapText="1"/>
    </xf>
    <xf numFmtId="0" fontId="54" fillId="11" borderId="51" xfId="4" applyFont="1" applyBorder="1" applyAlignment="1" applyProtection="1">
      <alignment horizontal="center" vertical="center" wrapText="1"/>
    </xf>
    <xf numFmtId="0" fontId="54" fillId="11" borderId="34" xfId="4" applyFont="1" applyBorder="1" applyAlignment="1" applyProtection="1">
      <alignment horizontal="center" vertical="center"/>
    </xf>
    <xf numFmtId="0" fontId="54" fillId="11" borderId="30" xfId="4" applyFont="1" applyBorder="1" applyAlignment="1" applyProtection="1">
      <alignment horizontal="center" vertical="center"/>
    </xf>
    <xf numFmtId="0" fontId="54" fillId="11" borderId="14" xfId="4" applyFont="1" applyBorder="1" applyAlignment="1" applyProtection="1">
      <alignment horizontal="left"/>
    </xf>
    <xf numFmtId="0" fontId="54" fillId="11" borderId="10" xfId="4" applyFont="1" applyBorder="1" applyAlignment="1" applyProtection="1">
      <alignment horizontal="left"/>
    </xf>
    <xf numFmtId="0" fontId="54" fillId="11" borderId="21" xfId="4" applyFont="1" applyBorder="1" applyAlignment="1" applyProtection="1">
      <alignment horizontal="left"/>
    </xf>
    <xf numFmtId="0" fontId="54" fillId="11" borderId="8" xfId="4" applyFont="1" applyBorder="1" applyAlignment="1" applyProtection="1">
      <alignment horizontal="left"/>
    </xf>
    <xf numFmtId="0" fontId="54" fillId="11" borderId="42" xfId="4" applyFont="1" applyBorder="1" applyAlignment="1" applyProtection="1">
      <alignment horizontal="left"/>
    </xf>
    <xf numFmtId="0" fontId="54" fillId="11" borderId="9" xfId="4" applyFont="1" applyBorder="1" applyAlignment="1" applyProtection="1">
      <alignment horizontal="left"/>
    </xf>
    <xf numFmtId="0" fontId="54" fillId="11" borderId="46" xfId="4" applyFont="1" applyBorder="1" applyAlignment="1" applyProtection="1">
      <alignment horizontal="center" vertical="center"/>
    </xf>
    <xf numFmtId="0" fontId="54" fillId="11" borderId="58" xfId="4" applyFont="1" applyBorder="1" applyAlignment="1" applyProtection="1">
      <alignment horizontal="center" vertical="center"/>
    </xf>
    <xf numFmtId="0" fontId="54" fillId="11" borderId="16" xfId="4" applyFont="1" applyBorder="1" applyAlignment="1" applyProtection="1">
      <alignment horizontal="center" wrapText="1"/>
    </xf>
    <xf numFmtId="0" fontId="54" fillId="11" borderId="17" xfId="4" applyFont="1" applyBorder="1" applyAlignment="1" applyProtection="1">
      <alignment horizontal="center" wrapText="1"/>
    </xf>
    <xf numFmtId="0" fontId="8" fillId="0" borderId="11" xfId="0" applyFont="1" applyBorder="1" applyAlignment="1" applyProtection="1">
      <alignment horizontal="center" wrapText="1"/>
      <protection locked="0"/>
    </xf>
    <xf numFmtId="0" fontId="8" fillId="0" borderId="11" xfId="0" applyFont="1" applyBorder="1" applyAlignment="1" applyProtection="1">
      <alignment horizontal="left" vertical="top" wrapText="1"/>
      <protection locked="0"/>
    </xf>
    <xf numFmtId="0" fontId="10" fillId="0" borderId="59" xfId="0" applyFont="1" applyBorder="1" applyAlignment="1" applyProtection="1">
      <alignment horizontal="center" vertical="center" wrapText="1"/>
      <protection locked="0"/>
    </xf>
    <xf numFmtId="0" fontId="10" fillId="0" borderId="50" xfId="0" applyFont="1" applyBorder="1" applyAlignment="1" applyProtection="1">
      <alignment horizontal="center" vertical="center" wrapText="1"/>
      <protection locked="0"/>
    </xf>
    <xf numFmtId="0" fontId="10" fillId="0" borderId="12" xfId="0" applyFont="1" applyBorder="1" applyAlignment="1" applyProtection="1">
      <alignment horizontal="center" vertical="center" wrapText="1"/>
    </xf>
    <xf numFmtId="0" fontId="42" fillId="0" borderId="30" xfId="0" applyFont="1" applyBorder="1" applyAlignment="1" applyProtection="1">
      <alignment horizontal="center" vertical="center" wrapText="1"/>
    </xf>
    <xf numFmtId="0" fontId="42" fillId="0" borderId="45" xfId="0" applyFont="1" applyBorder="1" applyAlignment="1" applyProtection="1">
      <alignment horizontal="center" vertical="center" wrapText="1"/>
    </xf>
    <xf numFmtId="0" fontId="42" fillId="0" borderId="3" xfId="0" applyFont="1" applyBorder="1" applyAlignment="1" applyProtection="1">
      <alignment horizontal="center" vertical="center" wrapText="1"/>
    </xf>
    <xf numFmtId="0" fontId="42" fillId="0" borderId="2" xfId="0" applyFont="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10" fillId="0" borderId="9" xfId="0" applyFont="1" applyFill="1" applyBorder="1" applyAlignment="1" applyProtection="1">
      <alignment horizontal="center" vertical="center" wrapText="1"/>
    </xf>
    <xf numFmtId="0" fontId="10" fillId="0" borderId="10" xfId="0" applyFont="1" applyFill="1" applyBorder="1" applyAlignment="1" applyProtection="1">
      <alignment horizontal="center" vertical="center" wrapText="1"/>
    </xf>
    <xf numFmtId="0" fontId="20" fillId="0" borderId="59" xfId="0" applyFont="1" applyBorder="1" applyAlignment="1" applyProtection="1">
      <alignment horizontal="center" vertical="center"/>
    </xf>
    <xf numFmtId="0" fontId="20" fillId="0" borderId="50" xfId="0" applyFont="1" applyBorder="1" applyAlignment="1" applyProtection="1">
      <alignment horizontal="center" vertical="center"/>
    </xf>
    <xf numFmtId="0" fontId="42" fillId="0" borderId="20" xfId="0" applyFont="1" applyBorder="1" applyAlignment="1" applyProtection="1">
      <alignment horizontal="center" vertical="center"/>
    </xf>
    <xf numFmtId="0" fontId="42" fillId="0" borderId="23" xfId="0" applyFont="1" applyBorder="1" applyAlignment="1" applyProtection="1">
      <alignment horizontal="center" vertical="center"/>
    </xf>
    <xf numFmtId="0" fontId="15" fillId="0" borderId="0" xfId="0" applyFont="1" applyAlignment="1" applyProtection="1">
      <alignment horizontal="center" vertical="center" wrapText="1"/>
      <protection locked="0"/>
    </xf>
    <xf numFmtId="0" fontId="7" fillId="0" borderId="0" xfId="0" applyFont="1" applyAlignment="1" applyProtection="1">
      <alignment horizontal="left" vertical="top" wrapText="1"/>
      <protection locked="0"/>
    </xf>
    <xf numFmtId="0" fontId="32" fillId="0" borderId="0" xfId="0" applyNumberFormat="1" applyFont="1" applyAlignment="1" applyProtection="1">
      <alignment horizontal="center" vertical="top"/>
    </xf>
  </cellXfs>
  <cellStyles count="5">
    <cellStyle name="Bad 2" xfId="3"/>
    <cellStyle name="Good 2" xfId="2"/>
    <cellStyle name="Neutral 2" xfId="4"/>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2"/>
  <sheetViews>
    <sheetView topLeftCell="B50" zoomScale="85" zoomScaleNormal="85" workbookViewId="0">
      <selection activeCell="H51" sqref="H51"/>
    </sheetView>
  </sheetViews>
  <sheetFormatPr defaultRowHeight="15" x14ac:dyDescent="0.25"/>
  <cols>
    <col min="1" max="1" width="5" style="2" customWidth="1"/>
    <col min="2" max="2" width="10.7109375" style="2" customWidth="1"/>
    <col min="3" max="3" width="22.42578125" style="11" customWidth="1"/>
    <col min="4" max="4" width="31" customWidth="1"/>
    <col min="5" max="5" width="8.140625" style="15" customWidth="1"/>
    <col min="6" max="6" width="8.28515625" style="5" customWidth="1"/>
    <col min="7" max="7" width="9.140625" style="5" customWidth="1"/>
    <col min="8" max="8" width="12.28515625" style="5" customWidth="1"/>
    <col min="9" max="9" width="15.28515625" customWidth="1"/>
  </cols>
  <sheetData>
    <row r="1" spans="1:11" s="39" customFormat="1" ht="37.5" customHeight="1" x14ac:dyDescent="0.25">
      <c r="A1" s="642" t="s">
        <v>922</v>
      </c>
      <c r="B1" s="642"/>
      <c r="C1" s="642"/>
      <c r="D1" s="642"/>
      <c r="E1" s="642"/>
      <c r="F1" s="642"/>
      <c r="G1" s="38"/>
      <c r="H1" s="38"/>
    </row>
    <row r="2" spans="1:11" s="39" customFormat="1" ht="21" x14ac:dyDescent="0.35">
      <c r="A2" s="40"/>
      <c r="B2" s="35"/>
      <c r="C2" s="36"/>
      <c r="D2" s="37"/>
      <c r="E2" s="37"/>
      <c r="F2" s="38"/>
      <c r="G2" s="38"/>
      <c r="H2" s="38"/>
    </row>
    <row r="3" spans="1:11" s="39" customFormat="1" ht="15.75" x14ac:dyDescent="0.25">
      <c r="A3" s="41" t="s">
        <v>34</v>
      </c>
      <c r="B3" s="42"/>
      <c r="C3" s="343"/>
      <c r="F3" s="44"/>
      <c r="G3" s="44"/>
      <c r="H3" s="44"/>
    </row>
    <row r="4" spans="1:11" s="39" customFormat="1" ht="15.75" x14ac:dyDescent="0.25">
      <c r="A4" s="340"/>
      <c r="B4" s="42"/>
      <c r="C4" s="343"/>
      <c r="F4" s="44"/>
      <c r="G4" s="44"/>
      <c r="H4" s="44"/>
    </row>
    <row r="5" spans="1:11" s="39" customFormat="1" ht="20.25" customHeight="1" x14ac:dyDescent="0.25">
      <c r="A5" s="644" t="s">
        <v>35</v>
      </c>
      <c r="B5" s="644"/>
      <c r="C5" s="644"/>
      <c r="D5" s="45" t="s">
        <v>232</v>
      </c>
      <c r="E5" s="45"/>
      <c r="F5" s="46"/>
      <c r="G5" s="46"/>
      <c r="H5" s="46"/>
    </row>
    <row r="6" spans="1:11" s="39" customFormat="1" ht="15" customHeight="1" x14ac:dyDescent="0.25">
      <c r="A6" s="644" t="s">
        <v>36</v>
      </c>
      <c r="B6" s="644"/>
      <c r="C6" s="644"/>
      <c r="D6" s="45" t="s">
        <v>233</v>
      </c>
      <c r="E6" s="45"/>
      <c r="F6" s="47"/>
      <c r="G6" s="47"/>
      <c r="H6" s="47"/>
      <c r="I6" s="60"/>
      <c r="J6" s="97"/>
      <c r="K6" s="60"/>
    </row>
    <row r="7" spans="1:11" s="39" customFormat="1" ht="15" customHeight="1" x14ac:dyDescent="0.25">
      <c r="A7" s="644" t="s">
        <v>37</v>
      </c>
      <c r="B7" s="644"/>
      <c r="C7" s="644"/>
      <c r="D7" s="45" t="s">
        <v>234</v>
      </c>
      <c r="E7" s="45"/>
      <c r="F7" s="47"/>
      <c r="G7" s="47"/>
      <c r="H7" s="47"/>
    </row>
    <row r="8" spans="1:11" s="39" customFormat="1" ht="15" customHeight="1" x14ac:dyDescent="0.25">
      <c r="A8" s="644" t="s">
        <v>38</v>
      </c>
      <c r="B8" s="644"/>
      <c r="C8" s="644"/>
      <c r="D8" s="45" t="s">
        <v>235</v>
      </c>
      <c r="E8" s="45"/>
      <c r="F8" s="47"/>
      <c r="G8" s="47"/>
      <c r="H8" s="47"/>
    </row>
    <row r="9" spans="1:11" s="39" customFormat="1" ht="15" customHeight="1" x14ac:dyDescent="0.25">
      <c r="A9" s="346" t="s">
        <v>307</v>
      </c>
      <c r="B9" s="336"/>
      <c r="C9" s="336"/>
      <c r="D9" s="45" t="s">
        <v>308</v>
      </c>
      <c r="E9" s="45"/>
      <c r="F9" s="47"/>
      <c r="G9" s="47"/>
      <c r="H9" s="47"/>
    </row>
    <row r="10" spans="1:11" s="39" customFormat="1" ht="15" customHeight="1" x14ac:dyDescent="0.25">
      <c r="A10" s="644" t="s">
        <v>0</v>
      </c>
      <c r="B10" s="644"/>
      <c r="C10" s="644"/>
      <c r="D10" s="45" t="s">
        <v>236</v>
      </c>
      <c r="E10" s="45"/>
      <c r="F10" s="47"/>
      <c r="G10" s="47"/>
      <c r="H10" s="47"/>
    </row>
    <row r="11" spans="1:11" s="39" customFormat="1" ht="15.75" x14ac:dyDescent="0.25">
      <c r="A11" s="340"/>
      <c r="B11" s="42"/>
      <c r="C11" s="343"/>
      <c r="F11" s="44"/>
      <c r="G11" s="44"/>
      <c r="H11" s="44"/>
    </row>
    <row r="12" spans="1:11" ht="6" customHeight="1" thickBot="1" x14ac:dyDescent="0.3">
      <c r="A12" s="42"/>
      <c r="B12" s="42"/>
      <c r="C12" s="43"/>
      <c r="D12" s="39"/>
      <c r="E12" s="39"/>
      <c r="F12" s="44"/>
      <c r="G12" s="44"/>
      <c r="H12" s="44"/>
      <c r="I12" s="39"/>
    </row>
    <row r="13" spans="1:11" s="15" customFormat="1" ht="46.5" customHeight="1" thickBot="1" x14ac:dyDescent="0.3">
      <c r="A13" s="112" t="s">
        <v>1</v>
      </c>
      <c r="B13" s="122" t="s">
        <v>2</v>
      </c>
      <c r="C13" s="123" t="s">
        <v>3</v>
      </c>
      <c r="D13" s="123" t="s">
        <v>4</v>
      </c>
      <c r="E13" s="123" t="s">
        <v>5</v>
      </c>
      <c r="F13" s="124" t="s">
        <v>6</v>
      </c>
      <c r="G13" s="125"/>
      <c r="H13" s="112" t="s">
        <v>732</v>
      </c>
      <c r="I13" s="247" t="s">
        <v>733</v>
      </c>
    </row>
    <row r="14" spans="1:11" s="15" customFormat="1" ht="99.75" customHeight="1" x14ac:dyDescent="0.25">
      <c r="A14" s="126">
        <v>1</v>
      </c>
      <c r="B14" s="127" t="s">
        <v>64</v>
      </c>
      <c r="C14" s="115" t="s">
        <v>928</v>
      </c>
      <c r="D14" s="115" t="str">
        <f>hitung_F1!G4</f>
        <v>Visi, misi, dan tujuan PS: …</v>
      </c>
      <c r="E14" s="252">
        <f>H14</f>
        <v>0.77519379844961245</v>
      </c>
      <c r="F14" s="116">
        <f>hitung_F1!E10</f>
        <v>4</v>
      </c>
      <c r="G14" s="128"/>
      <c r="H14" s="321">
        <v>0.77519379844961245</v>
      </c>
      <c r="I14" s="322">
        <f>F14*H14</f>
        <v>3.1007751937984498</v>
      </c>
    </row>
    <row r="15" spans="1:11" s="15" customFormat="1" ht="85.5" customHeight="1" x14ac:dyDescent="0.25">
      <c r="A15" s="129">
        <v>2</v>
      </c>
      <c r="B15" s="130" t="s">
        <v>65</v>
      </c>
      <c r="C15" s="156" t="s">
        <v>145</v>
      </c>
      <c r="D15" s="117" t="str">
        <f>hitung_F1!G12</f>
        <v>Strategi pencapaian sasaran: …</v>
      </c>
      <c r="E15" s="248">
        <f t="shared" ref="E15:E78" si="0">H15</f>
        <v>0.77519379844961245</v>
      </c>
      <c r="F15" s="118">
        <f>hitung_F1!E17</f>
        <v>4</v>
      </c>
      <c r="G15" s="128"/>
      <c r="H15" s="323">
        <v>0.77519379844961245</v>
      </c>
      <c r="I15" s="324">
        <f t="shared" ref="I15:I78" si="1">F15*H15</f>
        <v>3.1007751937984498</v>
      </c>
    </row>
    <row r="16" spans="1:11" s="15" customFormat="1" ht="107.25" customHeight="1" x14ac:dyDescent="0.25">
      <c r="A16" s="129">
        <v>3</v>
      </c>
      <c r="B16" s="131">
        <v>1.2</v>
      </c>
      <c r="C16" s="117" t="s">
        <v>686</v>
      </c>
      <c r="D16" s="117" t="str">
        <f>hitung_F1!G19</f>
        <v>Tingkat pemahaman sivitas akademika (dosen dan mahasiswa) dan tenaga kependidikan terhadap VMTS: …</v>
      </c>
      <c r="E16" s="248">
        <f t="shared" si="0"/>
        <v>0.77519379844961245</v>
      </c>
      <c r="F16" s="118">
        <f>hitung_F1!E24</f>
        <v>4</v>
      </c>
      <c r="G16" s="128"/>
      <c r="H16" s="323">
        <v>0.77519379844961245</v>
      </c>
      <c r="I16" s="324">
        <f t="shared" si="1"/>
        <v>3.1007751937984498</v>
      </c>
    </row>
    <row r="17" spans="1:9" s="15" customFormat="1" ht="155.25" customHeight="1" x14ac:dyDescent="0.25">
      <c r="A17" s="129">
        <v>4</v>
      </c>
      <c r="B17" s="131">
        <v>2.1</v>
      </c>
      <c r="C17" s="117" t="s">
        <v>687</v>
      </c>
      <c r="D17" s="117" t="str">
        <f>hitung_F1!G26</f>
        <v>Tata pamong pada PS: …</v>
      </c>
      <c r="E17" s="248">
        <f t="shared" si="0"/>
        <v>0.77519379844961245</v>
      </c>
      <c r="F17" s="118">
        <f>hitung_F1!E32</f>
        <v>4</v>
      </c>
      <c r="G17" s="128"/>
      <c r="H17" s="323">
        <v>0.77519379844961245</v>
      </c>
      <c r="I17" s="324">
        <f t="shared" si="1"/>
        <v>3.1007751937984498</v>
      </c>
    </row>
    <row r="18" spans="1:9" s="15" customFormat="1" ht="71.25" customHeight="1" x14ac:dyDescent="0.25">
      <c r="A18" s="129">
        <v>5</v>
      </c>
      <c r="B18" s="131" t="s">
        <v>322</v>
      </c>
      <c r="C18" s="117" t="s">
        <v>688</v>
      </c>
      <c r="D18" s="117" t="str">
        <f>hitung_F1!G34</f>
        <v>Tingkat pendidikan KPS:…</v>
      </c>
      <c r="E18" s="248">
        <f t="shared" si="0"/>
        <v>0.77519379844961245</v>
      </c>
      <c r="F18" s="118">
        <f>hitung_F1!E39</f>
        <v>4</v>
      </c>
      <c r="G18" s="128"/>
      <c r="H18" s="323">
        <v>0.77519379844961245</v>
      </c>
      <c r="I18" s="324">
        <f t="shared" si="1"/>
        <v>3.1007751937984498</v>
      </c>
    </row>
    <row r="19" spans="1:9" s="15" customFormat="1" ht="84.75" customHeight="1" x14ac:dyDescent="0.25">
      <c r="A19" s="129">
        <v>6</v>
      </c>
      <c r="B19" s="130" t="s">
        <v>326</v>
      </c>
      <c r="C19" s="135" t="s">
        <v>689</v>
      </c>
      <c r="D19" s="117" t="str">
        <f>hitung_F1!G41</f>
        <v>Publikasi jurnal KPS:…</v>
      </c>
      <c r="E19" s="248">
        <f t="shared" si="0"/>
        <v>0.38759689922480622</v>
      </c>
      <c r="F19" s="118">
        <f>hitung_F1!E46</f>
        <v>4</v>
      </c>
      <c r="G19" s="128"/>
      <c r="H19" s="323">
        <v>0.38759689922480622</v>
      </c>
      <c r="I19" s="324">
        <f t="shared" si="1"/>
        <v>1.5503875968992249</v>
      </c>
    </row>
    <row r="20" spans="1:9" s="15" customFormat="1" ht="106.5" customHeight="1" x14ac:dyDescent="0.25">
      <c r="A20" s="129">
        <v>7</v>
      </c>
      <c r="B20" s="130" t="s">
        <v>331</v>
      </c>
      <c r="C20" s="117" t="s">
        <v>690</v>
      </c>
      <c r="D20" s="117" t="str">
        <f>hitung_F1!G48</f>
        <v>Karakteristik kepemimpinan PS: …</v>
      </c>
      <c r="E20" s="248">
        <f t="shared" si="0"/>
        <v>0.38759689922480622</v>
      </c>
      <c r="F20" s="118">
        <f>hitung_F1!E53</f>
        <v>4</v>
      </c>
      <c r="G20" s="128"/>
      <c r="H20" s="323">
        <v>0.38759689922480622</v>
      </c>
      <c r="I20" s="324">
        <f t="shared" si="1"/>
        <v>1.5503875968992249</v>
      </c>
    </row>
    <row r="21" spans="1:9" s="15" customFormat="1" ht="131.25" customHeight="1" x14ac:dyDescent="0.25">
      <c r="A21" s="129">
        <v>8</v>
      </c>
      <c r="B21" s="131">
        <v>2.2999999999999998</v>
      </c>
      <c r="C21" s="117" t="s">
        <v>937</v>
      </c>
      <c r="D21" s="117" t="str">
        <f>hitung_F1!G55</f>
        <v>Sistem pengelolaan fungsional dan operasional PS: …</v>
      </c>
      <c r="E21" s="248">
        <f t="shared" si="0"/>
        <v>0.77519379844961245</v>
      </c>
      <c r="F21" s="118">
        <f>hitung_F1!E61</f>
        <v>4</v>
      </c>
      <c r="G21" s="128"/>
      <c r="H21" s="323">
        <v>0.77519379844961245</v>
      </c>
      <c r="I21" s="324">
        <f t="shared" si="1"/>
        <v>3.1007751937984498</v>
      </c>
    </row>
    <row r="22" spans="1:9" s="15" customFormat="1" ht="110.25" customHeight="1" x14ac:dyDescent="0.25">
      <c r="A22" s="129">
        <v>9</v>
      </c>
      <c r="B22" s="131">
        <v>2.4</v>
      </c>
      <c r="C22" s="117" t="s">
        <v>1023</v>
      </c>
      <c r="D22" s="117" t="str">
        <f>hitung_F1!G63</f>
        <v>Pelaksanaan penjaminan mutu di tingkat PS: …</v>
      </c>
      <c r="E22" s="248">
        <f t="shared" si="0"/>
        <v>0.77519379844961245</v>
      </c>
      <c r="F22" s="118">
        <f>hitung_F1!E69</f>
        <v>4</v>
      </c>
      <c r="G22" s="128"/>
      <c r="H22" s="323">
        <v>0.77519379844961245</v>
      </c>
      <c r="I22" s="324">
        <f t="shared" si="1"/>
        <v>3.1007751937984498</v>
      </c>
    </row>
    <row r="23" spans="1:9" s="15" customFormat="1" ht="86.25" customHeight="1" x14ac:dyDescent="0.25">
      <c r="A23" s="129">
        <v>10</v>
      </c>
      <c r="B23" s="131">
        <v>2.5</v>
      </c>
      <c r="C23" s="135" t="s">
        <v>148</v>
      </c>
      <c r="D23" s="117" t="str">
        <f>hitung_F1!G71</f>
        <v>Penjaringan umpan balik dan tindak lanjutnya: …</v>
      </c>
      <c r="E23" s="248">
        <f t="shared" si="0"/>
        <v>0.38759689922480622</v>
      </c>
      <c r="F23" s="119">
        <f>hitung_F1!E77</f>
        <v>4</v>
      </c>
      <c r="G23" s="132"/>
      <c r="H23" s="323">
        <v>0.38759689922480622</v>
      </c>
      <c r="I23" s="324">
        <f t="shared" si="1"/>
        <v>1.5503875968992249</v>
      </c>
    </row>
    <row r="24" spans="1:9" s="15" customFormat="1" ht="66.75" customHeight="1" x14ac:dyDescent="0.25">
      <c r="A24" s="129">
        <v>11</v>
      </c>
      <c r="B24" s="133">
        <v>2.6</v>
      </c>
      <c r="C24" s="135" t="s">
        <v>691</v>
      </c>
      <c r="D24" s="117" t="str">
        <f>hitung_F1!G79</f>
        <v>Upaya untuk menjamin keberlanjutan PS: …</v>
      </c>
      <c r="E24" s="248">
        <f t="shared" si="0"/>
        <v>0.38759689922480622</v>
      </c>
      <c r="F24" s="119">
        <f>hitung_F1!E85</f>
        <v>4</v>
      </c>
      <c r="G24" s="132"/>
      <c r="H24" s="323">
        <v>0.38759689922480622</v>
      </c>
      <c r="I24" s="324">
        <f t="shared" si="1"/>
        <v>1.5503875968992249</v>
      </c>
    </row>
    <row r="25" spans="1:9" s="15" customFormat="1" ht="96" customHeight="1" x14ac:dyDescent="0.25">
      <c r="A25" s="129">
        <v>12</v>
      </c>
      <c r="B25" s="130">
        <v>3.1</v>
      </c>
      <c r="C25" s="135" t="s">
        <v>692</v>
      </c>
      <c r="D25" s="117" t="str">
        <f>hitung_F1!G87</f>
        <v>Sistem rekrutmen calon mahasiswa baru: …</v>
      </c>
      <c r="E25" s="248">
        <f t="shared" si="0"/>
        <v>1.2133468149646107</v>
      </c>
      <c r="F25" s="119">
        <f>hitung_F1!E93</f>
        <v>4</v>
      </c>
      <c r="G25" s="132"/>
      <c r="H25" s="323">
        <v>1.2133468149646107</v>
      </c>
      <c r="I25" s="324">
        <f t="shared" si="1"/>
        <v>4.8533872598584429</v>
      </c>
    </row>
    <row r="26" spans="1:9" s="15" customFormat="1" ht="45.75" customHeight="1" x14ac:dyDescent="0.25">
      <c r="A26" s="129">
        <v>13</v>
      </c>
      <c r="B26" s="130" t="s">
        <v>149</v>
      </c>
      <c r="C26" s="135" t="s">
        <v>693</v>
      </c>
      <c r="D26" s="117" t="str">
        <f>hitung_F1!G95&amp;" "&amp;hitung_F1!G96</f>
        <v xml:space="preserve">Rasio calon peserta didik yang ikut seleksi : lulus seleksi = 10/9 = 1.11. </v>
      </c>
      <c r="E26" s="248">
        <f t="shared" si="0"/>
        <v>1.2133468149646107</v>
      </c>
      <c r="F26" s="119">
        <f>hitung_F1!E99</f>
        <v>2.1111111111111112</v>
      </c>
      <c r="G26" s="132"/>
      <c r="H26" s="323">
        <v>1.2133468149646107</v>
      </c>
      <c r="I26" s="324">
        <f t="shared" si="1"/>
        <v>2.5615099427030672</v>
      </c>
    </row>
    <row r="27" spans="1:9" s="15" customFormat="1" ht="40.5" customHeight="1" x14ac:dyDescent="0.25">
      <c r="A27" s="129">
        <v>14</v>
      </c>
      <c r="B27" s="130" t="s">
        <v>150</v>
      </c>
      <c r="C27" s="135" t="s">
        <v>694</v>
      </c>
      <c r="D27" s="117" t="str">
        <f>hitung_F1!G101&amp;" "&amp;hitung_F1!G102</f>
        <v xml:space="preserve">Rasio peserta didik baru : total peserta didik = (20/35) = 0.57. </v>
      </c>
      <c r="E27" s="248">
        <f t="shared" si="0"/>
        <v>2.4266936299292214</v>
      </c>
      <c r="F27" s="119">
        <f>hitung_F1!E105</f>
        <v>0</v>
      </c>
      <c r="G27" s="132"/>
      <c r="H27" s="323">
        <v>2.4266936299292214</v>
      </c>
      <c r="I27" s="324">
        <f t="shared" si="1"/>
        <v>0</v>
      </c>
    </row>
    <row r="28" spans="1:9" s="15" customFormat="1" ht="69" customHeight="1" x14ac:dyDescent="0.25">
      <c r="A28" s="129">
        <v>15</v>
      </c>
      <c r="B28" s="134" t="s">
        <v>366</v>
      </c>
      <c r="C28" s="136" t="s">
        <v>695</v>
      </c>
      <c r="D28" s="117" t="str">
        <f>hitung_F1!G107&amp;" "&amp;hitung_F1!G108</f>
        <v xml:space="preserve">Jumlah lulusan dengan IPK 2.75 s.d. 3.00 = 4 orang. Jumlah lulusan dengan IPK 3.01 s.d. 3.49 = 7 orang. Jumlah lulusan dengan IPK ≥ 3.5 = 5 orang.  </v>
      </c>
      <c r="E28" s="248">
        <f t="shared" si="0"/>
        <v>1.2133468149646107</v>
      </c>
      <c r="F28" s="119">
        <f>hitung_F1!E113</f>
        <v>3.0625</v>
      </c>
      <c r="G28" s="132"/>
      <c r="H28" s="323">
        <v>1.2133468149646107</v>
      </c>
      <c r="I28" s="324">
        <f t="shared" si="1"/>
        <v>3.7158746208291205</v>
      </c>
    </row>
    <row r="29" spans="1:9" s="15" customFormat="1" ht="110.25" customHeight="1" x14ac:dyDescent="0.25">
      <c r="A29" s="129">
        <v>16</v>
      </c>
      <c r="B29" s="134" t="s">
        <v>151</v>
      </c>
      <c r="C29" s="136" t="s">
        <v>374</v>
      </c>
      <c r="D29" s="117" t="str">
        <f>hitung_F1!G115</f>
        <v>Penghargaan atas prestasi peserta didik di bidang nalar, bakat dan minat: …</v>
      </c>
      <c r="E29" s="248">
        <f t="shared" si="0"/>
        <v>0.60667340748230536</v>
      </c>
      <c r="F29" s="119">
        <f>hitung_F1!E120</f>
        <v>4</v>
      </c>
      <c r="G29" s="132"/>
      <c r="H29" s="323">
        <v>0.60667340748230536</v>
      </c>
      <c r="I29" s="324">
        <f t="shared" si="1"/>
        <v>2.4266936299292214</v>
      </c>
    </row>
    <row r="30" spans="1:9" s="15" customFormat="1" ht="51.75" customHeight="1" x14ac:dyDescent="0.25">
      <c r="A30" s="129">
        <v>17</v>
      </c>
      <c r="B30" s="134" t="s">
        <v>152</v>
      </c>
      <c r="C30" s="135" t="s">
        <v>696</v>
      </c>
      <c r="D30" s="117" t="str">
        <f>hitung_F1!G122&amp;" "&amp;hitung_F1!G123</f>
        <v xml:space="preserve">Persentase kelulusan dokter spesialis tepat waktu = (35/60) x 100% = 58.33%. </v>
      </c>
      <c r="E30" s="248">
        <f t="shared" si="0"/>
        <v>2.4266936299292214</v>
      </c>
      <c r="F30" s="119">
        <f>hitung_F1!E126</f>
        <v>4</v>
      </c>
      <c r="G30" s="132"/>
      <c r="H30" s="323">
        <v>2.4266936299292214</v>
      </c>
      <c r="I30" s="324">
        <f t="shared" si="1"/>
        <v>9.7067745197168858</v>
      </c>
    </row>
    <row r="31" spans="1:9" s="15" customFormat="1" ht="57.75" customHeight="1" x14ac:dyDescent="0.25">
      <c r="A31" s="129">
        <v>18</v>
      </c>
      <c r="B31" s="134" t="s">
        <v>386</v>
      </c>
      <c r="C31" s="135" t="s">
        <v>697</v>
      </c>
      <c r="D31" s="117" t="str">
        <f>hitung_F1!G128&amp;" "&amp;hitung_F1!G129</f>
        <v xml:space="preserve">Ujian nasional dalam tiga tahun terakhir. Persentase kelulusan first-taker = (50/55) x 100% = 90.91%. </v>
      </c>
      <c r="E31" s="248">
        <f t="shared" si="0"/>
        <v>3.6400404448938319</v>
      </c>
      <c r="F31" s="119">
        <f>hitung_F1!E132</f>
        <v>4</v>
      </c>
      <c r="G31" s="132"/>
      <c r="H31" s="323">
        <v>3.6400404448938319</v>
      </c>
      <c r="I31" s="324">
        <f t="shared" si="1"/>
        <v>14.560161779575328</v>
      </c>
    </row>
    <row r="32" spans="1:9" s="15" customFormat="1" ht="128.25" customHeight="1" x14ac:dyDescent="0.25">
      <c r="A32" s="129">
        <v>19</v>
      </c>
      <c r="B32" s="134">
        <v>3.3</v>
      </c>
      <c r="C32" s="136" t="s">
        <v>698</v>
      </c>
      <c r="D32" s="117" t="str">
        <f>hitung_F1!G134</f>
        <v>Layanan program studi kepada mahasiswa untuk membina dan mengembangkan penalaran, minat, bakat, seni, dan kesejahteraan: …</v>
      </c>
      <c r="E32" s="248">
        <f t="shared" si="0"/>
        <v>0.60667340748230536</v>
      </c>
      <c r="F32" s="119">
        <f>hitung_F1!E139</f>
        <v>4</v>
      </c>
      <c r="G32" s="132"/>
      <c r="H32" s="323">
        <v>0.60667340748230536</v>
      </c>
      <c r="I32" s="324">
        <f t="shared" si="1"/>
        <v>2.4266936299292214</v>
      </c>
    </row>
    <row r="33" spans="1:10" s="15" customFormat="1" ht="112.5" customHeight="1" x14ac:dyDescent="0.25">
      <c r="A33" s="129">
        <v>20</v>
      </c>
      <c r="B33" s="136">
        <v>3.4</v>
      </c>
      <c r="C33" s="136" t="s">
        <v>153</v>
      </c>
      <c r="D33" s="117" t="str">
        <f>hitung_F1!G141</f>
        <v>Bentuk partisipasi lulusan dan alumni untuk kegiatan akademik dan non-akademik: …</v>
      </c>
      <c r="E33" s="248">
        <f t="shared" si="0"/>
        <v>0.60667340748230536</v>
      </c>
      <c r="F33" s="119">
        <f>hitung_F1!E147</f>
        <v>4</v>
      </c>
      <c r="G33" s="132"/>
      <c r="H33" s="323">
        <v>0.60667340748230536</v>
      </c>
      <c r="I33" s="324">
        <f t="shared" si="1"/>
        <v>2.4266936299292214</v>
      </c>
    </row>
    <row r="34" spans="1:10" s="15" customFormat="1" ht="123.75" customHeight="1" x14ac:dyDescent="0.25">
      <c r="A34" s="129">
        <v>21</v>
      </c>
      <c r="B34" s="134">
        <v>4.0999999999999996</v>
      </c>
      <c r="C34" s="136" t="s">
        <v>699</v>
      </c>
      <c r="D34" s="117" t="str">
        <f>hitung_F1!G149</f>
        <v>Sistem seleksi, perekrutan, penempatan, promosi, retensi, dan pemberhentian dosen dan tenaga kependidikan: …</v>
      </c>
      <c r="E34" s="248">
        <f t="shared" si="0"/>
        <v>1.1627906976744187</v>
      </c>
      <c r="F34" s="119">
        <f>hitung_F1!E155</f>
        <v>4</v>
      </c>
      <c r="G34" s="132"/>
      <c r="H34" s="323">
        <v>1.1627906976744187</v>
      </c>
      <c r="I34" s="324">
        <f t="shared" si="1"/>
        <v>4.6511627906976747</v>
      </c>
    </row>
    <row r="35" spans="1:10" s="15" customFormat="1" ht="120" customHeight="1" x14ac:dyDescent="0.25">
      <c r="A35" s="129">
        <v>22</v>
      </c>
      <c r="B35" s="136">
        <v>4.2</v>
      </c>
      <c r="C35" s="136" t="s">
        <v>700</v>
      </c>
      <c r="D35" s="117" t="str">
        <f>hitung_F1!G157</f>
        <v>Sistem monitoring dan evaluasi, serta rekam jejak kinerja dosen dan tenaga kependidikan: …</v>
      </c>
      <c r="E35" s="248">
        <f t="shared" si="0"/>
        <v>1.1627906976744187</v>
      </c>
      <c r="F35" s="119">
        <f>hitung_F1!E163</f>
        <v>4</v>
      </c>
      <c r="G35" s="132"/>
      <c r="H35" s="323">
        <v>1.1627906976744187</v>
      </c>
      <c r="I35" s="324">
        <f t="shared" si="1"/>
        <v>4.6511627906976747</v>
      </c>
    </row>
    <row r="36" spans="1:10" s="15" customFormat="1" ht="96.75" customHeight="1" x14ac:dyDescent="0.25">
      <c r="A36" s="129">
        <v>23</v>
      </c>
      <c r="B36" s="136" t="s">
        <v>405</v>
      </c>
      <c r="C36" s="136" t="s">
        <v>701</v>
      </c>
      <c r="D36" s="117" t="str">
        <f>hitung_F1!G165&amp;" "&amp;hitung_F1!G166</f>
        <v xml:space="preserve">PS memiliki program pendidikan konsultan. Jumlah subdivisi = 20. Jumlah dosen di RS Pendidikan yang berpendidikan Sp.K = 30 orang. Persentase dosen di RS Pendidikan yang perpendidikan Sp.K terhadap (jumlah subdivisi x 2) = 75.00%.  </v>
      </c>
      <c r="E36" s="248">
        <f t="shared" si="0"/>
        <v>3.4883720930232553</v>
      </c>
      <c r="F36" s="119">
        <f>hitung_F1!E178</f>
        <v>4</v>
      </c>
      <c r="G36" s="132"/>
      <c r="H36" s="323">
        <v>3.4883720930232553</v>
      </c>
      <c r="I36" s="324">
        <f t="shared" si="1"/>
        <v>13.953488372093021</v>
      </c>
    </row>
    <row r="37" spans="1:10" s="15" customFormat="1" ht="96.75" customHeight="1" x14ac:dyDescent="0.25">
      <c r="A37" s="129">
        <v>24</v>
      </c>
      <c r="B37" s="136" t="s">
        <v>419</v>
      </c>
      <c r="C37" s="136" t="s">
        <v>702</v>
      </c>
      <c r="D37" s="117" t="str">
        <f>hitung_F1!G180</f>
        <v>Dosen di RS Pendidikan (Utama, Afiliasi dan Satelit): …</v>
      </c>
      <c r="E37" s="248">
        <f t="shared" si="0"/>
        <v>2.3255813953488373</v>
      </c>
      <c r="F37" s="119">
        <f>hitung_F1!E186</f>
        <v>4</v>
      </c>
      <c r="G37" s="132"/>
      <c r="H37" s="323">
        <v>2.3255813953488373</v>
      </c>
      <c r="I37" s="324">
        <f t="shared" si="1"/>
        <v>9.3023255813953494</v>
      </c>
    </row>
    <row r="38" spans="1:10" s="15" customFormat="1" ht="81.75" customHeight="1" x14ac:dyDescent="0.25">
      <c r="A38" s="129">
        <v>25</v>
      </c>
      <c r="B38" s="135" t="s">
        <v>680</v>
      </c>
      <c r="C38" s="135" t="s">
        <v>683</v>
      </c>
      <c r="D38" s="117" t="str">
        <f>hitung_F1!G188&amp;" "&amp;hitung_F1!G189</f>
        <v xml:space="preserve">Persentase dosen yang memiliki sertifikasi pendidik = (25/40) x 100% = 62.50%. </v>
      </c>
      <c r="E38" s="248">
        <f t="shared" si="0"/>
        <v>1.1627906976744187</v>
      </c>
      <c r="F38" s="119">
        <f>hitung_F1!E192</f>
        <v>4</v>
      </c>
      <c r="G38" s="132"/>
      <c r="H38" s="323">
        <v>1.1627906976744187</v>
      </c>
      <c r="I38" s="324">
        <f t="shared" si="1"/>
        <v>4.6511627906976747</v>
      </c>
    </row>
    <row r="39" spans="1:10" s="15" customFormat="1" ht="66" customHeight="1" x14ac:dyDescent="0.25">
      <c r="A39" s="129">
        <v>26</v>
      </c>
      <c r="B39" s="135" t="s">
        <v>427</v>
      </c>
      <c r="C39" s="117" t="s">
        <v>703</v>
      </c>
      <c r="D39" s="117" t="str">
        <f>hitung_F1!G194&amp;" "&amp;hitung_F1!G195</f>
        <v xml:space="preserve">Rasio peserta didik terhadap dosen yang bidang keahliannya sesuai dengan bidang PS = (50/20) = 2.50. </v>
      </c>
      <c r="E39" s="248">
        <f t="shared" si="0"/>
        <v>3.4883720930232553</v>
      </c>
      <c r="F39" s="119">
        <f>hitung_F1!E198</f>
        <v>4</v>
      </c>
      <c r="G39" s="132"/>
      <c r="H39" s="323">
        <v>3.4883720930232553</v>
      </c>
      <c r="I39" s="324">
        <f t="shared" si="1"/>
        <v>13.953488372093021</v>
      </c>
    </row>
    <row r="40" spans="1:10" s="15" customFormat="1" ht="96" customHeight="1" x14ac:dyDescent="0.25">
      <c r="A40" s="129">
        <v>27</v>
      </c>
      <c r="B40" s="135" t="s">
        <v>432</v>
      </c>
      <c r="C40" s="135" t="s">
        <v>704</v>
      </c>
      <c r="D40" s="117" t="str">
        <f>hitung_F1!G200&amp;" "&amp;hitung_F1!G201</f>
        <v xml:space="preserve">Jumlah dosen di RS Pendidikan: Sp (&lt; 5th)  = 15 orang. Jumlah dosen di RS Pendidikan: Sp (5 -10th) = 8 orang. Jumlah dosen di RS Pendidikan: Sp(&gt; 10th) = 10 orang. Jumlah dosen di RS Pendidikan: Sp.K = 6 orang.  </v>
      </c>
      <c r="E40" s="248">
        <f t="shared" si="0"/>
        <v>2.3255813953488373</v>
      </c>
      <c r="F40" s="119">
        <f>hitung_F1!E207</f>
        <v>2.1794871794871793</v>
      </c>
      <c r="G40" s="132"/>
      <c r="H40" s="323">
        <v>2.3255813953488373</v>
      </c>
      <c r="I40" s="324">
        <f t="shared" si="1"/>
        <v>5.0685748360166967</v>
      </c>
    </row>
    <row r="41" spans="1:10" s="15" customFormat="1" ht="76.5" customHeight="1" x14ac:dyDescent="0.25">
      <c r="A41" s="129">
        <v>28</v>
      </c>
      <c r="B41" s="135" t="s">
        <v>11</v>
      </c>
      <c r="C41" s="135" t="s">
        <v>441</v>
      </c>
      <c r="D41" s="117" t="str">
        <f>hitung_F1!G209&amp;" "&amp;hitung_F1!G210</f>
        <v xml:space="preserve">Rata-rata beban kerja dosen di RS Pendidikan (Utama, Afiliasi dan Satelit) per tahun (dalam jam) = 1276 jam.  </v>
      </c>
      <c r="E41" s="248">
        <f t="shared" si="0"/>
        <v>1.1627906976744187</v>
      </c>
      <c r="F41" s="119">
        <f>hitung_F1!E211</f>
        <v>3.53125</v>
      </c>
      <c r="G41" s="132"/>
      <c r="H41" s="323">
        <v>1.1627906976744187</v>
      </c>
      <c r="I41" s="324">
        <f t="shared" si="1"/>
        <v>4.1061046511627906</v>
      </c>
    </row>
    <row r="42" spans="1:10" s="15" customFormat="1" ht="94.5" customHeight="1" x14ac:dyDescent="0.25">
      <c r="A42" s="129">
        <v>29</v>
      </c>
      <c r="B42" s="130" t="s">
        <v>705</v>
      </c>
      <c r="C42" s="135" t="s">
        <v>448</v>
      </c>
      <c r="D42" s="117" t="str">
        <f>hitung_F1!G213&amp;" "&amp;hitung_F1!G214</f>
        <v xml:space="preserve">Persentase realisasi aktivitas dosen di RS Pendidikan (Utama, Afiliasi dan Satelit) dalam pendidikan terhadap jumlah aktivitas yang direncanakan = (95/100) x 100% = 95.00%. </v>
      </c>
      <c r="E42" s="248">
        <f t="shared" si="0"/>
        <v>1.1627906976744187</v>
      </c>
      <c r="F42" s="119">
        <f>hitung_F1!E217</f>
        <v>4</v>
      </c>
      <c r="G42" s="132"/>
      <c r="H42" s="323">
        <v>1.1627906976744187</v>
      </c>
      <c r="I42" s="324">
        <f t="shared" si="1"/>
        <v>4.6511627906976747</v>
      </c>
    </row>
    <row r="43" spans="1:10" s="15" customFormat="1" ht="126" customHeight="1" x14ac:dyDescent="0.25">
      <c r="A43" s="129">
        <v>30</v>
      </c>
      <c r="B43" s="131" t="s">
        <v>13</v>
      </c>
      <c r="C43" s="117" t="s">
        <v>451</v>
      </c>
      <c r="D43" s="117" t="str">
        <f>hitung_F1!G219&amp;" "&amp;hitung_F1!G220</f>
        <v xml:space="preserve">Banyaknya tenaga ahli/pakar sebagai pembicara dalam seminar/pelatihan, pembicara tamu, dsb, dari luar PT sendiri (tidak termasuk dosendi RS Pendidikan Afiliasi dan Satelit) = 13 orang.  </v>
      </c>
      <c r="E43" s="248">
        <f t="shared" si="0"/>
        <v>1.1627906976744187</v>
      </c>
      <c r="F43" s="119">
        <f>hitung_F1!E221</f>
        <v>4</v>
      </c>
      <c r="G43" s="132"/>
      <c r="H43" s="323">
        <v>1.1627906976744187</v>
      </c>
      <c r="I43" s="324">
        <f t="shared" si="1"/>
        <v>4.6511627906976747</v>
      </c>
    </row>
    <row r="44" spans="1:10" s="15" customFormat="1" ht="106.5" customHeight="1" x14ac:dyDescent="0.25">
      <c r="A44" s="129">
        <v>31</v>
      </c>
      <c r="B44" s="131" t="s">
        <v>14</v>
      </c>
      <c r="C44" s="117" t="s">
        <v>456</v>
      </c>
      <c r="D44" s="117" t="str">
        <f>hitung_F1!G223&amp;" "&amp;hitung_F1!G224</f>
        <v xml:space="preserve">Persentase dosen yang mengikuti tugas belajar jenjang S-3/Sp.K pada bidang keahlian yang sesuai dengan PS dalam kurun waktu tiga tahun terakhir = (95/100) x 100% = 95.00%. </v>
      </c>
      <c r="E44" s="248">
        <f t="shared" si="0"/>
        <v>1.1627906976744187</v>
      </c>
      <c r="F44" s="119">
        <f>hitung_F1!E227</f>
        <v>4</v>
      </c>
      <c r="G44" s="132"/>
      <c r="H44" s="323">
        <v>1.1627906976744187</v>
      </c>
      <c r="I44" s="324">
        <f t="shared" si="1"/>
        <v>4.6511627906976747</v>
      </c>
    </row>
    <row r="45" spans="1:10" s="15" customFormat="1" ht="88.5" customHeight="1" x14ac:dyDescent="0.25">
      <c r="A45" s="129">
        <v>32</v>
      </c>
      <c r="B45" s="134" t="s">
        <v>15</v>
      </c>
      <c r="C45" s="136" t="s">
        <v>706</v>
      </c>
      <c r="D45" s="117" t="str">
        <f>hitung_F1!G229&amp;" "&amp;hitung_F1!G230</f>
        <v xml:space="preserve">Kegiatan dosen PS dalam pertemuan ilmiah. NA = 10, NB = 7, NC = 9, ND = 15, NE = 20, NF = 25, NF = 25. Jumlah dosen PS (termasuk dosen di RS Pendidikan Utama, Afiliasi, dan Satelit) = 20 orang. </v>
      </c>
      <c r="E45" s="248">
        <f t="shared" si="0"/>
        <v>1.1627906976744187</v>
      </c>
      <c r="F45" s="119">
        <f>hitung_F1!E238</f>
        <v>4</v>
      </c>
      <c r="G45" s="132"/>
      <c r="H45" s="323">
        <v>1.1627906976744187</v>
      </c>
      <c r="I45" s="324">
        <f t="shared" si="1"/>
        <v>4.6511627906976747</v>
      </c>
    </row>
    <row r="46" spans="1:10" s="15" customFormat="1" ht="79.5" customHeight="1" x14ac:dyDescent="0.25">
      <c r="A46" s="129">
        <v>33</v>
      </c>
      <c r="B46" s="134" t="s">
        <v>16</v>
      </c>
      <c r="C46" s="136" t="s">
        <v>707</v>
      </c>
      <c r="D46" s="117" t="str">
        <f>hitung_F1!G240&amp;" "&amp;hitung_F1!G241</f>
        <v xml:space="preserve">Media publikasi karya ilmiah dosen PS. NA = 10, NB = 7, NC = 9, ND = 15, NE = 20, NF = 25, NF = 25. Jumlah dosen PS (termasuk dosen di RS Pendidikan Utama, Afiliasi, dan Satelit) = 20 orang. </v>
      </c>
      <c r="E46" s="248">
        <f t="shared" si="0"/>
        <v>1.1627906976744187</v>
      </c>
      <c r="F46" s="119">
        <f>hitung_F1!E249</f>
        <v>4</v>
      </c>
      <c r="G46" s="132"/>
      <c r="H46" s="323">
        <v>1.1627906976744187</v>
      </c>
      <c r="I46" s="324">
        <f t="shared" si="1"/>
        <v>4.6511627906976747</v>
      </c>
    </row>
    <row r="47" spans="1:10" s="15" customFormat="1" ht="67.5" customHeight="1" x14ac:dyDescent="0.25">
      <c r="A47" s="129">
        <v>34</v>
      </c>
      <c r="B47" s="130" t="s">
        <v>17</v>
      </c>
      <c r="C47" s="135" t="s">
        <v>708</v>
      </c>
      <c r="D47" s="117" t="str">
        <f>hitung_F1!G251&amp;" "&amp;hitung_F1!G252</f>
        <v xml:space="preserve">Persentase dosen yang menjadi anggota organisasi keilmuan atau organisasi profesi tingkat internasional = (0/100) x 100% = 0.00%. </v>
      </c>
      <c r="E47" s="248">
        <f t="shared" si="0"/>
        <v>1.1627906976744187</v>
      </c>
      <c r="F47" s="119">
        <f>hitung_F1!E255</f>
        <v>0</v>
      </c>
      <c r="G47" s="132"/>
      <c r="H47" s="323">
        <v>1.1627906976744187</v>
      </c>
      <c r="I47" s="324">
        <f t="shared" si="1"/>
        <v>0</v>
      </c>
    </row>
    <row r="48" spans="1:10" s="15" customFormat="1" ht="83.25" customHeight="1" x14ac:dyDescent="0.25">
      <c r="A48" s="129">
        <v>35</v>
      </c>
      <c r="B48" s="130" t="s">
        <v>154</v>
      </c>
      <c r="C48" s="135" t="s">
        <v>709</v>
      </c>
      <c r="D48" s="117" t="str">
        <f>hitung_F1!G257</f>
        <v>Kompetensi pendukung dan kompetensi lainnya dari kurikulum PS: …</v>
      </c>
      <c r="E48" s="248">
        <f t="shared" si="0"/>
        <v>0.51679586563307489</v>
      </c>
      <c r="F48" s="119">
        <f>hitung_F1!E262</f>
        <v>4</v>
      </c>
      <c r="G48" s="132"/>
      <c r="H48" s="467">
        <v>0.51679586563307489</v>
      </c>
      <c r="I48" s="324">
        <f t="shared" si="1"/>
        <v>2.0671834625322996</v>
      </c>
      <c r="J48" s="466">
        <v>0.51679586563307489</v>
      </c>
    </row>
    <row r="49" spans="1:10" s="15" customFormat="1" ht="156" customHeight="1" x14ac:dyDescent="0.25">
      <c r="A49" s="129">
        <v>36</v>
      </c>
      <c r="B49" s="130" t="s">
        <v>155</v>
      </c>
      <c r="C49" s="135" t="s">
        <v>209</v>
      </c>
      <c r="D49" s="117" t="str">
        <f>hitung_F1!G264</f>
        <v>Struktur kurikulum: …</v>
      </c>
      <c r="E49" s="248">
        <f t="shared" si="0"/>
        <v>1.0335917312661498</v>
      </c>
      <c r="F49" s="119">
        <f>hitung_F1!E269</f>
        <v>4</v>
      </c>
      <c r="G49" s="132"/>
      <c r="H49" s="467">
        <v>1.0335917312661498</v>
      </c>
      <c r="I49" s="324">
        <f t="shared" si="1"/>
        <v>4.1343669250645991</v>
      </c>
      <c r="J49" s="466">
        <v>1.0335917312661498</v>
      </c>
    </row>
    <row r="50" spans="1:10" s="15" customFormat="1" ht="83.25" customHeight="1" x14ac:dyDescent="0.25">
      <c r="A50" s="129">
        <v>37</v>
      </c>
      <c r="B50" s="130" t="s">
        <v>677</v>
      </c>
      <c r="C50" s="135" t="s">
        <v>1044</v>
      </c>
      <c r="D50" s="117" t="str">
        <f>hitung_F1!G271</f>
        <v>Kompetensi umum:…</v>
      </c>
      <c r="E50" s="248">
        <f t="shared" si="0"/>
        <v>2.5839793281653742</v>
      </c>
      <c r="F50" s="119">
        <f>hitung_F1!E271</f>
        <v>4</v>
      </c>
      <c r="G50" s="132"/>
      <c r="H50" s="467">
        <v>2.5839793281653742</v>
      </c>
      <c r="I50" s="324">
        <f t="shared" si="1"/>
        <v>10.335917312661497</v>
      </c>
      <c r="J50" s="466">
        <v>2.5839793281653742</v>
      </c>
    </row>
    <row r="51" spans="1:10" s="15" customFormat="1" ht="102.75" customHeight="1" x14ac:dyDescent="0.25">
      <c r="A51" s="129">
        <v>38</v>
      </c>
      <c r="B51" s="130" t="s">
        <v>515</v>
      </c>
      <c r="C51" s="135" t="s">
        <v>1126</v>
      </c>
      <c r="D51" s="117" t="str">
        <f>hitung_F1!G315</f>
        <v>Prosedur pencapaian kompetensi dasar ilmu bedah anak: …</v>
      </c>
      <c r="E51" s="248">
        <f t="shared" si="0"/>
        <v>5.1679586563307485</v>
      </c>
      <c r="F51" s="119">
        <f>hitung_F1!E337</f>
        <v>4</v>
      </c>
      <c r="G51" s="132"/>
      <c r="H51" s="467">
        <v>5.1679586563307485</v>
      </c>
      <c r="I51" s="324">
        <f t="shared" si="1"/>
        <v>20.671834625322994</v>
      </c>
      <c r="J51" s="466">
        <v>5.1679586563307485</v>
      </c>
    </row>
    <row r="52" spans="1:10" s="15" customFormat="1" ht="108" customHeight="1" x14ac:dyDescent="0.25">
      <c r="A52" s="129">
        <v>39</v>
      </c>
      <c r="B52" s="130" t="s">
        <v>516</v>
      </c>
      <c r="C52" s="135" t="s">
        <v>1127</v>
      </c>
      <c r="D52" s="117" t="str">
        <f>hitung_F1!G339</f>
        <v>Prosedur pencapaian kompetensi lanjut ilmu bedah anak: …</v>
      </c>
      <c r="E52" s="248">
        <f t="shared" si="0"/>
        <v>5.1679586563307485</v>
      </c>
      <c r="F52" s="119">
        <f>hitung_F1!E339</f>
        <v>4</v>
      </c>
      <c r="G52" s="132"/>
      <c r="H52" s="467">
        <v>5.1679586563307485</v>
      </c>
      <c r="I52" s="324">
        <f t="shared" si="1"/>
        <v>20.671834625322994</v>
      </c>
      <c r="J52" s="466">
        <v>5.1679586563307485</v>
      </c>
    </row>
    <row r="53" spans="1:10" s="15" customFormat="1" ht="81" customHeight="1" x14ac:dyDescent="0.25">
      <c r="A53" s="129">
        <v>40</v>
      </c>
      <c r="B53" s="134" t="s">
        <v>519</v>
      </c>
      <c r="C53" s="136" t="s">
        <v>1045</v>
      </c>
      <c r="D53" s="117" t="str">
        <f>hitung_F1!G398</f>
        <v>Proses pembelajaran: …</v>
      </c>
      <c r="E53" s="248">
        <f t="shared" si="0"/>
        <v>1.0335917312661498</v>
      </c>
      <c r="F53" s="119">
        <f>hitung_F1!E403</f>
        <v>4</v>
      </c>
      <c r="G53" s="132"/>
      <c r="H53" s="467">
        <v>1.0335917312661498</v>
      </c>
      <c r="I53" s="324">
        <f t="shared" si="1"/>
        <v>4.1343669250645991</v>
      </c>
      <c r="J53" s="466">
        <v>1.0335917312661498</v>
      </c>
    </row>
    <row r="54" spans="1:10" s="15" customFormat="1" ht="50.25" customHeight="1" x14ac:dyDescent="0.25">
      <c r="A54" s="129">
        <v>41</v>
      </c>
      <c r="B54" s="134">
        <v>5.2</v>
      </c>
      <c r="C54" s="136" t="s">
        <v>710</v>
      </c>
      <c r="D54" s="117" t="str">
        <f>hitung_F1!G405&amp;" "&amp;hitung_F1!G406</f>
        <v xml:space="preserve">Persentase banyaknya modul ditinjau tiga tahun terakhir = (40/50) x 100% = 80.00%. </v>
      </c>
      <c r="E54" s="248">
        <f t="shared" si="0"/>
        <v>0.25839793281653745</v>
      </c>
      <c r="F54" s="119">
        <f>hitung_F1!E409</f>
        <v>4</v>
      </c>
      <c r="G54" s="132"/>
      <c r="H54" s="467">
        <v>0.25839793281653745</v>
      </c>
      <c r="I54" s="324">
        <f t="shared" si="1"/>
        <v>1.0335917312661498</v>
      </c>
      <c r="J54" s="466">
        <v>0.25839793281653745</v>
      </c>
    </row>
    <row r="55" spans="1:10" s="15" customFormat="1" ht="54.75" customHeight="1" x14ac:dyDescent="0.25">
      <c r="A55" s="129">
        <v>42</v>
      </c>
      <c r="B55" s="130">
        <v>5.3</v>
      </c>
      <c r="C55" s="213" t="s">
        <v>711</v>
      </c>
      <c r="D55" s="117" t="str">
        <f>hitung_F1!G411&amp;" "&amp;hitung_F1!G412</f>
        <v xml:space="preserve">Persentase morbiditas dan mortalitas dalam satu tahun terakhir = (10/50) x 100% = 20.00%. </v>
      </c>
      <c r="E55" s="248">
        <f t="shared" si="0"/>
        <v>1.0335917312661498</v>
      </c>
      <c r="F55" s="119">
        <f>hitung_F1!E415</f>
        <v>4</v>
      </c>
      <c r="G55" s="132"/>
      <c r="H55" s="467">
        <v>1.0335917312661498</v>
      </c>
      <c r="I55" s="324">
        <f t="shared" si="1"/>
        <v>4.1343669250645991</v>
      </c>
      <c r="J55" s="466">
        <v>1.0335917312661498</v>
      </c>
    </row>
    <row r="56" spans="1:10" s="15" customFormat="1" ht="124.5" customHeight="1" x14ac:dyDescent="0.25">
      <c r="A56" s="129">
        <v>43</v>
      </c>
      <c r="B56" s="130" t="s">
        <v>531</v>
      </c>
      <c r="C56" s="135" t="s">
        <v>533</v>
      </c>
      <c r="D56" s="117" t="str">
        <f>hitung_F1!G417</f>
        <v>Ketersediaan panduan pembimbingan karya tulis ilmiah, sosialisasi, dan konsistensi pelaksanaannya: …</v>
      </c>
      <c r="E56" s="248">
        <f t="shared" si="0"/>
        <v>0.51679586563307489</v>
      </c>
      <c r="F56" s="119">
        <f>hitung_F1!E422</f>
        <v>4</v>
      </c>
      <c r="G56" s="132"/>
      <c r="H56" s="467">
        <v>0.51679586563307489</v>
      </c>
      <c r="I56" s="324">
        <f t="shared" si="1"/>
        <v>2.0671834625322996</v>
      </c>
      <c r="J56" s="466">
        <v>0.51679586563307489</v>
      </c>
    </row>
    <row r="57" spans="1:10" s="15" customFormat="1" ht="102" customHeight="1" x14ac:dyDescent="0.25">
      <c r="A57" s="129">
        <v>44</v>
      </c>
      <c r="B57" s="136" t="s">
        <v>538</v>
      </c>
      <c r="C57" s="136" t="s">
        <v>536</v>
      </c>
      <c r="D57" s="117" t="str">
        <f>hitung_F1!G424</f>
        <v>Kualifikasi akademik dosen pembimbing karya tulis ilmiah: …</v>
      </c>
      <c r="E57" s="248">
        <f t="shared" si="0"/>
        <v>0.77519379844961234</v>
      </c>
      <c r="F57" s="119">
        <f>hitung_F1!E429</f>
        <v>4</v>
      </c>
      <c r="G57" s="132"/>
      <c r="H57" s="467">
        <v>0.77519379844961234</v>
      </c>
      <c r="I57" s="324">
        <f t="shared" si="1"/>
        <v>3.1007751937984493</v>
      </c>
      <c r="J57" s="466">
        <v>0.77519379844961234</v>
      </c>
    </row>
    <row r="58" spans="1:10" s="15" customFormat="1" ht="54" customHeight="1" x14ac:dyDescent="0.25">
      <c r="A58" s="129">
        <v>45</v>
      </c>
      <c r="B58" s="136" t="s">
        <v>539</v>
      </c>
      <c r="C58" s="136" t="s">
        <v>542</v>
      </c>
      <c r="D58" s="117" t="str">
        <f>hitung_F1!G431&amp;" "&amp;hitung_F1!G432</f>
        <v xml:space="preserve">Rata-rata peserta didik per dosen pembimbing karya tulis ilmiah  = (20/30)  = 0.67. </v>
      </c>
      <c r="E58" s="248">
        <f t="shared" si="0"/>
        <v>0.51679586563307489</v>
      </c>
      <c r="F58" s="119">
        <f>hitung_F1!E435</f>
        <v>4</v>
      </c>
      <c r="G58" s="132"/>
      <c r="H58" s="467">
        <v>0.51679586563307489</v>
      </c>
      <c r="I58" s="324">
        <f t="shared" si="1"/>
        <v>2.0671834625322996</v>
      </c>
      <c r="J58" s="466">
        <v>0.51679586563307489</v>
      </c>
    </row>
    <row r="59" spans="1:10" s="15" customFormat="1" ht="105.75" customHeight="1" x14ac:dyDescent="0.25">
      <c r="A59" s="129">
        <v>46</v>
      </c>
      <c r="B59" s="130" t="s">
        <v>545</v>
      </c>
      <c r="C59" s="135" t="s">
        <v>712</v>
      </c>
      <c r="D59" s="117" t="str">
        <f>hitung_F1!G437</f>
        <v>Sistem monitoring dan evaluasi (monev) kurikulum: …</v>
      </c>
      <c r="E59" s="248">
        <f t="shared" si="0"/>
        <v>1.0335917312661498</v>
      </c>
      <c r="F59" s="119">
        <f>hitung_F1!E443</f>
        <v>4</v>
      </c>
      <c r="G59" s="137"/>
      <c r="H59" s="467">
        <v>1.0335917312661498</v>
      </c>
      <c r="I59" s="324">
        <f t="shared" si="1"/>
        <v>4.1343669250645991</v>
      </c>
      <c r="J59" s="466">
        <v>1.0335917312661498</v>
      </c>
    </row>
    <row r="60" spans="1:10" s="15" customFormat="1" ht="142.5" customHeight="1" x14ac:dyDescent="0.25">
      <c r="A60" s="129">
        <v>47</v>
      </c>
      <c r="B60" s="130" t="s">
        <v>551</v>
      </c>
      <c r="C60" s="135" t="s">
        <v>713</v>
      </c>
      <c r="D60" s="117" t="str">
        <f>hitung_F1!G445&amp;" "&amp;hitung_F1!G446</f>
        <v xml:space="preserve">Rata-rata jumlah bimbingan operasi/tindakan per tahun = 145 kali.  </v>
      </c>
      <c r="E60" s="248">
        <f t="shared" si="0"/>
        <v>0.51679586563307489</v>
      </c>
      <c r="F60" s="119">
        <f>hitung_F1!E447</f>
        <v>4</v>
      </c>
      <c r="G60" s="132"/>
      <c r="H60" s="467">
        <v>0.51679586563307489</v>
      </c>
      <c r="I60" s="324">
        <f t="shared" si="1"/>
        <v>2.0671834625322996</v>
      </c>
      <c r="J60" s="466">
        <v>0.51679586563307489</v>
      </c>
    </row>
    <row r="61" spans="1:10" s="15" customFormat="1" ht="119.25" customHeight="1" x14ac:dyDescent="0.25">
      <c r="A61" s="129">
        <v>48</v>
      </c>
      <c r="B61" s="134" t="s">
        <v>555</v>
      </c>
      <c r="C61" s="136" t="s">
        <v>714</v>
      </c>
      <c r="D61" s="117" t="str">
        <f>hitung_F1!G449</f>
        <v>Sistem evaluasi peserta didik dan kriteria kelulusan: …</v>
      </c>
      <c r="E61" s="248">
        <f t="shared" si="0"/>
        <v>1.0335917312661498</v>
      </c>
      <c r="F61" s="119">
        <f>hitung_F1!E454</f>
        <v>4</v>
      </c>
      <c r="G61" s="132"/>
      <c r="H61" s="467">
        <v>1.0335917312661498</v>
      </c>
      <c r="I61" s="324">
        <f t="shared" si="1"/>
        <v>4.1343669250645991</v>
      </c>
      <c r="J61" s="466">
        <v>1.0335917312661498</v>
      </c>
    </row>
    <row r="62" spans="1:10" s="15" customFormat="1" ht="87" customHeight="1" x14ac:dyDescent="0.25">
      <c r="A62" s="129">
        <v>49</v>
      </c>
      <c r="B62" s="134" t="s">
        <v>156</v>
      </c>
      <c r="C62" s="136" t="s">
        <v>18</v>
      </c>
      <c r="D62" s="117" t="str">
        <f>hitung_F1!G456</f>
        <v>Kebijakan tentang suasana akademik: …</v>
      </c>
      <c r="E62" s="248">
        <f t="shared" si="0"/>
        <v>0.51679586563307489</v>
      </c>
      <c r="F62" s="119">
        <f>hitung_F1!E461</f>
        <v>4</v>
      </c>
      <c r="G62" s="132"/>
      <c r="H62" s="467">
        <v>0.51679586563307489</v>
      </c>
      <c r="I62" s="324">
        <f t="shared" si="1"/>
        <v>2.0671834625322996</v>
      </c>
      <c r="J62" s="466">
        <v>0.51679586563307489</v>
      </c>
    </row>
    <row r="63" spans="1:10" s="15" customFormat="1" ht="93" customHeight="1" x14ac:dyDescent="0.25">
      <c r="A63" s="129">
        <v>50</v>
      </c>
      <c r="B63" s="130" t="s">
        <v>157</v>
      </c>
      <c r="C63" s="135" t="s">
        <v>19</v>
      </c>
      <c r="D63" s="117" t="str">
        <f>hitung_F1!G463</f>
        <v>Ketersediaan dan jenis prasarana, sarana dan dana: …</v>
      </c>
      <c r="E63" s="248">
        <f t="shared" si="0"/>
        <v>0.51679586563307489</v>
      </c>
      <c r="F63" s="119">
        <f>hitung_F1!E468</f>
        <v>4</v>
      </c>
      <c r="G63" s="132"/>
      <c r="H63" s="467">
        <v>0.51679586563307489</v>
      </c>
      <c r="I63" s="324">
        <f t="shared" si="1"/>
        <v>2.0671834625322996</v>
      </c>
      <c r="J63" s="466">
        <v>0.51679586563307489</v>
      </c>
    </row>
    <row r="64" spans="1:10" s="15" customFormat="1" ht="102.75" customHeight="1" x14ac:dyDescent="0.25">
      <c r="A64" s="129">
        <v>51</v>
      </c>
      <c r="B64" s="130" t="s">
        <v>158</v>
      </c>
      <c r="C64" s="135" t="s">
        <v>159</v>
      </c>
      <c r="D64" s="117" t="str">
        <f>hitung_F1!G470</f>
        <v>Program dan kegiatan akademik untuk menciptakan suasana akademik: …</v>
      </c>
      <c r="E64" s="248">
        <f t="shared" si="0"/>
        <v>0.51679586563307489</v>
      </c>
      <c r="F64" s="119">
        <f>hitung_F1!E475</f>
        <v>4</v>
      </c>
      <c r="G64" s="132"/>
      <c r="H64" s="467">
        <v>0.51679586563307489</v>
      </c>
      <c r="I64" s="324">
        <f t="shared" si="1"/>
        <v>2.0671834625322996</v>
      </c>
      <c r="J64" s="466">
        <v>0.51679586563307489</v>
      </c>
    </row>
    <row r="65" spans="1:10" s="15" customFormat="1" ht="99.75" customHeight="1" x14ac:dyDescent="0.25">
      <c r="A65" s="129">
        <v>52</v>
      </c>
      <c r="B65" s="130" t="s">
        <v>573</v>
      </c>
      <c r="C65" s="135" t="s">
        <v>160</v>
      </c>
      <c r="D65" s="117" t="str">
        <f>hitung_F1!G477</f>
        <v>Sistem monitoring dan evaluasi (monev) kurikulum: …</v>
      </c>
      <c r="E65" s="248">
        <f t="shared" si="0"/>
        <v>0.51679586563307489</v>
      </c>
      <c r="F65" s="119">
        <f>hitung_F1!E483</f>
        <v>4</v>
      </c>
      <c r="G65" s="132"/>
      <c r="H65" s="467">
        <v>0.51679586563307489</v>
      </c>
      <c r="I65" s="324">
        <f t="shared" si="1"/>
        <v>2.0671834625322996</v>
      </c>
      <c r="J65" s="466">
        <v>0.51679586563307489</v>
      </c>
    </row>
    <row r="66" spans="1:10" s="15" customFormat="1" ht="92.25" customHeight="1" x14ac:dyDescent="0.25">
      <c r="A66" s="129">
        <v>53</v>
      </c>
      <c r="B66" s="130" t="s">
        <v>187</v>
      </c>
      <c r="C66" s="135" t="s">
        <v>161</v>
      </c>
      <c r="D66" s="117" t="str">
        <f>hitung_F1!G485</f>
        <v>Keterlibatan program studi dalam pengelolaan dana: …</v>
      </c>
      <c r="E66" s="248">
        <f t="shared" si="0"/>
        <v>1.0570824524312896</v>
      </c>
      <c r="F66" s="119">
        <f>hitung_F1!E490</f>
        <v>4</v>
      </c>
      <c r="G66" s="132"/>
      <c r="H66" s="323">
        <v>1.0570824524312896</v>
      </c>
      <c r="I66" s="324">
        <f t="shared" si="1"/>
        <v>4.2283298097251585</v>
      </c>
    </row>
    <row r="67" spans="1:10" s="15" customFormat="1" ht="87.75" customHeight="1" x14ac:dyDescent="0.25">
      <c r="A67" s="129">
        <v>54</v>
      </c>
      <c r="B67" s="130" t="s">
        <v>189</v>
      </c>
      <c r="C67" s="135" t="s">
        <v>715</v>
      </c>
      <c r="D67" s="117" t="str">
        <f>hitung_F1!G492&amp;" "&amp;hitung_F1!G493</f>
        <v xml:space="preserve">Total penerimaan dana = Rp 100 juta. Penerimaan dana dari mahasiswa = Rp 30 juta. Persentase perolehan dana dari mahasiswa dibandingkan dengan total penerimaan dana  = 30.00%. </v>
      </c>
      <c r="E67" s="248">
        <f t="shared" si="0"/>
        <v>0.52854122621564481</v>
      </c>
      <c r="F67" s="119">
        <f>hitung_F1!E496</f>
        <v>4</v>
      </c>
      <c r="G67" s="132"/>
      <c r="H67" s="323">
        <v>0.52854122621564481</v>
      </c>
      <c r="I67" s="324">
        <f t="shared" si="1"/>
        <v>2.1141649048625792</v>
      </c>
    </row>
    <row r="68" spans="1:10" s="15" customFormat="1" ht="84.75" customHeight="1" x14ac:dyDescent="0.25">
      <c r="A68" s="129">
        <v>55</v>
      </c>
      <c r="B68" s="130" t="s">
        <v>191</v>
      </c>
      <c r="C68" s="135" t="s">
        <v>716</v>
      </c>
      <c r="D68" s="117" t="str">
        <f>hitung_F1!G498&amp;" "&amp;hitung_F1!G499</f>
        <v xml:space="preserve">Penggunaan dana untuk operasional (pendidikan, penelitian, pengabdian kepada masyarakat)/ mahasiswa /tahun. Rata-rata dana operasional per mahasiswa per tahun = Rp 100 juta. </v>
      </c>
      <c r="E68" s="248">
        <f t="shared" si="0"/>
        <v>1.0570824524312896</v>
      </c>
      <c r="F68" s="119">
        <f>hitung_F1!E500</f>
        <v>4</v>
      </c>
      <c r="G68" s="132"/>
      <c r="H68" s="323">
        <v>1.0570824524312896</v>
      </c>
      <c r="I68" s="324">
        <f t="shared" si="1"/>
        <v>4.2283298097251585</v>
      </c>
    </row>
    <row r="69" spans="1:10" s="15" customFormat="1" ht="76.5" customHeight="1" x14ac:dyDescent="0.25">
      <c r="A69" s="129">
        <v>56</v>
      </c>
      <c r="B69" s="130" t="s">
        <v>587</v>
      </c>
      <c r="C69" s="135" t="s">
        <v>717</v>
      </c>
      <c r="D69" s="117" t="str">
        <f>hitung_F1!G502&amp;" "&amp;hitung_F1!G503</f>
        <v xml:space="preserve">Penggunaan dana penelitian tiga tahun terakhir. Rata-rata dana penelitian per dosen di RS Pendidikan (Utama, Afiliasi dan Satelit) per tahun = Rp 4.00 juta. </v>
      </c>
      <c r="E69" s="248">
        <f t="shared" si="0"/>
        <v>0.52854122621564481</v>
      </c>
      <c r="F69" s="119">
        <f>hitung_F1!E506</f>
        <v>2.2000000000000002</v>
      </c>
      <c r="G69" s="132"/>
      <c r="H69" s="323">
        <v>0.52854122621564481</v>
      </c>
      <c r="I69" s="324">
        <f t="shared" si="1"/>
        <v>1.1627906976744187</v>
      </c>
    </row>
    <row r="70" spans="1:10" s="15" customFormat="1" ht="100.5" customHeight="1" x14ac:dyDescent="0.25">
      <c r="A70" s="129">
        <v>57</v>
      </c>
      <c r="B70" s="130" t="s">
        <v>588</v>
      </c>
      <c r="C70" s="135" t="s">
        <v>718</v>
      </c>
      <c r="D70" s="117" t="str">
        <f>hitung_F1!G508&amp;" "&amp;hitung_F1!G509</f>
        <v xml:space="preserve">Penggunaan dana pengabdian kepada masyarakat dalam tiga tahun terakhir. Rata-rata dana pengabdian kepada masyarakat per dosen di RS Pendidikan (Utama, Afiliasi dan Satelit) per tahun = Rp 3.33 juta. </v>
      </c>
      <c r="E70" s="248">
        <f t="shared" si="0"/>
        <v>0.52854122621564481</v>
      </c>
      <c r="F70" s="119">
        <f>hitung_F1!E512</f>
        <v>4</v>
      </c>
      <c r="G70" s="132"/>
      <c r="H70" s="323">
        <v>0.52854122621564481</v>
      </c>
      <c r="I70" s="324">
        <f t="shared" si="1"/>
        <v>2.1141649048625792</v>
      </c>
    </row>
    <row r="71" spans="1:10" s="15" customFormat="1" ht="96" customHeight="1" x14ac:dyDescent="0.25">
      <c r="A71" s="129">
        <v>58</v>
      </c>
      <c r="B71" s="130" t="s">
        <v>592</v>
      </c>
      <c r="C71" s="135" t="s">
        <v>719</v>
      </c>
      <c r="D71" s="117" t="str">
        <f>hitung_F1!G514</f>
        <v>Ruang yang tersedia untuk proses pendidikan: …</v>
      </c>
      <c r="E71" s="248">
        <f t="shared" si="0"/>
        <v>2.1141649048625792</v>
      </c>
      <c r="F71" s="119">
        <f>hitung_F1!E520</f>
        <v>4</v>
      </c>
      <c r="G71" s="132"/>
      <c r="H71" s="323">
        <v>2.1141649048625792</v>
      </c>
      <c r="I71" s="324">
        <f t="shared" si="1"/>
        <v>8.456659619450317</v>
      </c>
    </row>
    <row r="72" spans="1:10" s="15" customFormat="1" ht="108.75" customHeight="1" x14ac:dyDescent="0.25">
      <c r="A72" s="129">
        <v>59</v>
      </c>
      <c r="B72" s="130" t="s">
        <v>600</v>
      </c>
      <c r="C72" s="135" t="s">
        <v>720</v>
      </c>
      <c r="D72" s="117" t="str">
        <f>hitung_F1!G522</f>
        <v>Fasilitas komputer dan akses ke jaringan internet di perpustakaan: …</v>
      </c>
      <c r="E72" s="248">
        <f t="shared" si="0"/>
        <v>1.0570824524312896</v>
      </c>
      <c r="F72" s="119">
        <f>hitung_F1!E527</f>
        <v>4</v>
      </c>
      <c r="G72" s="132"/>
      <c r="H72" s="323">
        <v>1.0570824524312896</v>
      </c>
      <c r="I72" s="324">
        <f t="shared" si="1"/>
        <v>4.2283298097251585</v>
      </c>
    </row>
    <row r="73" spans="1:10" s="15" customFormat="1" ht="39" customHeight="1" x14ac:dyDescent="0.25">
      <c r="A73" s="129">
        <v>60</v>
      </c>
      <c r="B73" s="130" t="s">
        <v>606</v>
      </c>
      <c r="C73" s="117" t="s">
        <v>721</v>
      </c>
      <c r="D73" s="117" t="str">
        <f>hitung_F1!G529&amp;" "&amp;hitung_F1!G530</f>
        <v xml:space="preserve">Jumlah judul buku teks yang relevan  = 20 judul.  </v>
      </c>
      <c r="E73" s="248">
        <f t="shared" si="0"/>
        <v>1.0570824524312896</v>
      </c>
      <c r="F73" s="119">
        <f>hitung_F1!E531</f>
        <v>4</v>
      </c>
      <c r="G73" s="132"/>
      <c r="H73" s="323">
        <v>1.0570824524312896</v>
      </c>
      <c r="I73" s="324">
        <f t="shared" si="1"/>
        <v>4.2283298097251585</v>
      </c>
    </row>
    <row r="74" spans="1:10" s="15" customFormat="1" ht="42" customHeight="1" x14ac:dyDescent="0.25">
      <c r="A74" s="129">
        <v>61</v>
      </c>
      <c r="B74" s="130" t="s">
        <v>610</v>
      </c>
      <c r="C74" s="117" t="s">
        <v>722</v>
      </c>
      <c r="D74" s="117" t="str">
        <f>hitung_F1!G533&amp;" "&amp;hitung_F1!G534</f>
        <v xml:space="preserve">Jumlah judul majalah profesi internasional = 20 judul.  </v>
      </c>
      <c r="E74" s="248">
        <f t="shared" si="0"/>
        <v>1.0570824524312896</v>
      </c>
      <c r="F74" s="119">
        <f>hitung_F1!E535</f>
        <v>4</v>
      </c>
      <c r="G74" s="132"/>
      <c r="H74" s="323">
        <v>1.0570824524312896</v>
      </c>
      <c r="I74" s="324">
        <f t="shared" si="1"/>
        <v>4.2283298097251585</v>
      </c>
    </row>
    <row r="75" spans="1:10" s="15" customFormat="1" ht="42" customHeight="1" x14ac:dyDescent="0.25">
      <c r="A75" s="129">
        <v>62</v>
      </c>
      <c r="B75" s="130" t="s">
        <v>614</v>
      </c>
      <c r="C75" s="117" t="s">
        <v>723</v>
      </c>
      <c r="D75" s="117" t="str">
        <f>hitung_F1!G537&amp;" "&amp;hitung_F1!G538</f>
        <v xml:space="preserve">Jumlah judul majalah profesi nasional = 20 judul.  </v>
      </c>
      <c r="E75" s="248">
        <f t="shared" si="0"/>
        <v>1.0570824524312896</v>
      </c>
      <c r="F75" s="119">
        <f>hitung_F1!E539</f>
        <v>4</v>
      </c>
      <c r="G75" s="132"/>
      <c r="H75" s="323">
        <v>1.0570824524312896</v>
      </c>
      <c r="I75" s="324">
        <f t="shared" si="1"/>
        <v>4.2283298097251585</v>
      </c>
    </row>
    <row r="76" spans="1:10" s="15" customFormat="1" ht="42" customHeight="1" x14ac:dyDescent="0.25">
      <c r="A76" s="129">
        <v>63</v>
      </c>
      <c r="B76" s="130" t="s">
        <v>618</v>
      </c>
      <c r="C76" s="117" t="s">
        <v>734</v>
      </c>
      <c r="D76" s="117" t="str">
        <f>hitung_F1!G541&amp;" "&amp;hitung_F1!G542</f>
        <v xml:space="preserve">Jumlah judul video/interactive materials = 20 judul.  </v>
      </c>
      <c r="E76" s="248">
        <f t="shared" si="0"/>
        <v>0.52854122621564481</v>
      </c>
      <c r="F76" s="119">
        <f>hitung_F1!E543</f>
        <v>3</v>
      </c>
      <c r="G76" s="132"/>
      <c r="H76" s="323">
        <v>0.52854122621564481</v>
      </c>
      <c r="I76" s="324">
        <f t="shared" si="1"/>
        <v>1.5856236786469344</v>
      </c>
    </row>
    <row r="77" spans="1:10" s="15" customFormat="1" ht="93.75" customHeight="1" x14ac:dyDescent="0.25">
      <c r="A77" s="129">
        <v>64</v>
      </c>
      <c r="B77" s="130" t="s">
        <v>622</v>
      </c>
      <c r="C77" s="117" t="s">
        <v>724</v>
      </c>
      <c r="D77" s="117" t="str">
        <f>hitung_F1!G545</f>
        <v>Kelengkapan dan mutu sarana pada Unit Rawat Inap: …</v>
      </c>
      <c r="E77" s="248">
        <f t="shared" si="0"/>
        <v>2.1141649048625792</v>
      </c>
      <c r="F77" s="119">
        <f>hitung_F1!E551</f>
        <v>4</v>
      </c>
      <c r="G77" s="132"/>
      <c r="H77" s="323">
        <v>2.1141649048625792</v>
      </c>
      <c r="I77" s="324">
        <f t="shared" si="1"/>
        <v>8.456659619450317</v>
      </c>
    </row>
    <row r="78" spans="1:10" s="15" customFormat="1" ht="92.25" customHeight="1" x14ac:dyDescent="0.25">
      <c r="A78" s="129">
        <v>65</v>
      </c>
      <c r="B78" s="130" t="s">
        <v>623</v>
      </c>
      <c r="C78" s="117" t="s">
        <v>725</v>
      </c>
      <c r="D78" s="117" t="str">
        <f>hitung_F1!G553</f>
        <v>Kelengkapan dan mutu sarana pada Unit Rawat Jalan: …</v>
      </c>
      <c r="E78" s="248">
        <f t="shared" si="0"/>
        <v>3.1712473572938684</v>
      </c>
      <c r="F78" s="119">
        <f>hitung_F1!E559</f>
        <v>4</v>
      </c>
      <c r="G78" s="132"/>
      <c r="H78" s="323">
        <v>3.1712473572938684</v>
      </c>
      <c r="I78" s="324">
        <f t="shared" si="1"/>
        <v>12.684989429175474</v>
      </c>
    </row>
    <row r="79" spans="1:10" s="15" customFormat="1" ht="109.5" customHeight="1" x14ac:dyDescent="0.25">
      <c r="A79" s="129">
        <v>66</v>
      </c>
      <c r="B79" s="130" t="s">
        <v>627</v>
      </c>
      <c r="C79" s="117" t="s">
        <v>726</v>
      </c>
      <c r="D79" s="117" t="str">
        <f>hitung_F1!G561</f>
        <v>Kelengkapan dan mutu sarana pada kamar bedah: …</v>
      </c>
      <c r="E79" s="248">
        <f t="shared" ref="E79:E88" si="2">H79</f>
        <v>2.1141649048625792</v>
      </c>
      <c r="F79" s="119">
        <f>hitung_F1!E567</f>
        <v>4</v>
      </c>
      <c r="G79" s="132"/>
      <c r="H79" s="323">
        <v>2.1141649048625792</v>
      </c>
      <c r="I79" s="324">
        <f t="shared" ref="I79:I88" si="3">F79*H79</f>
        <v>8.456659619450317</v>
      </c>
    </row>
    <row r="80" spans="1:10" s="15" customFormat="1" ht="96.75" customHeight="1" x14ac:dyDescent="0.25">
      <c r="A80" s="129">
        <v>67</v>
      </c>
      <c r="B80" s="130" t="s">
        <v>630</v>
      </c>
      <c r="C80" s="135" t="s">
        <v>727</v>
      </c>
      <c r="D80" s="117" t="str">
        <f>hitung_F1!G569</f>
        <v>Prasarana pendidikan pelengkap RS Pendidikan Afiliasi dan Satelit.: …</v>
      </c>
      <c r="E80" s="248">
        <f t="shared" si="2"/>
        <v>3.1712473572938684</v>
      </c>
      <c r="F80" s="119">
        <f>hitung_F1!E575</f>
        <v>4</v>
      </c>
      <c r="G80" s="132"/>
      <c r="H80" s="323">
        <v>3.1712473572938684</v>
      </c>
      <c r="I80" s="324">
        <f t="shared" si="3"/>
        <v>12.684989429175474</v>
      </c>
    </row>
    <row r="81" spans="1:9" s="15" customFormat="1" ht="109.5" customHeight="1" x14ac:dyDescent="0.25">
      <c r="A81" s="129">
        <v>68</v>
      </c>
      <c r="B81" s="130">
        <v>6.3</v>
      </c>
      <c r="C81" s="135" t="s">
        <v>728</v>
      </c>
      <c r="D81" s="117" t="str">
        <f>hitung_F1!G577</f>
        <v>Sistem informasi dan fasilitas yang digunakan PS dalam proses pembelajaran: …</v>
      </c>
      <c r="E81" s="248">
        <f t="shared" si="2"/>
        <v>2.1141649048625792</v>
      </c>
      <c r="F81" s="119">
        <f>hitung_F1!E582</f>
        <v>4</v>
      </c>
      <c r="G81" s="132"/>
      <c r="H81" s="323">
        <v>2.1141649048625792</v>
      </c>
      <c r="I81" s="324">
        <f t="shared" si="3"/>
        <v>8.456659619450317</v>
      </c>
    </row>
    <row r="82" spans="1:9" s="15" customFormat="1" ht="80.25" customHeight="1" x14ac:dyDescent="0.25">
      <c r="A82" s="129">
        <v>69</v>
      </c>
      <c r="B82" s="130">
        <v>7.1</v>
      </c>
      <c r="C82" s="135" t="s">
        <v>641</v>
      </c>
      <c r="D82" s="117" t="str">
        <f>hitung_F1!G584&amp;" "&amp;hitung_F1!G585</f>
        <v xml:space="preserve">Persentase dosen yang memiliki agenda penelitian sesuai dengan bidang studi dan semua penelitian sesuai dengan agenda. = Rp 83.33%. </v>
      </c>
      <c r="E82" s="248">
        <f t="shared" si="2"/>
        <v>1.3289036544850499</v>
      </c>
      <c r="F82" s="119">
        <f>hitung_F1!E588</f>
        <v>4</v>
      </c>
      <c r="G82" s="132"/>
      <c r="H82" s="323">
        <v>1.3289036544850499</v>
      </c>
      <c r="I82" s="324">
        <f t="shared" si="3"/>
        <v>5.3156146179401995</v>
      </c>
    </row>
    <row r="83" spans="1:9" s="15" customFormat="1" ht="137.25" customHeight="1" x14ac:dyDescent="0.25">
      <c r="A83" s="129">
        <v>70</v>
      </c>
      <c r="B83" s="130" t="s">
        <v>28</v>
      </c>
      <c r="C83" s="135" t="s">
        <v>644</v>
      </c>
      <c r="D83" s="117" t="str">
        <f>hitung_F1!G590&amp;" "&amp;hitung_F1!G591</f>
        <v xml:space="preserve">Banyaknya dosen di RS Pendidikan = 30 orang. Jumlah keterlibatan dosen di RS Pendidikan dalam publikasi tingkat internasional = 20.00 kali. Jumlah keterlibatan dosen di RS Pendidikan dalam publikasi tingkat nasional = 19.00 kali. Jumlah keterlibatan dosen di RS Pendidikan dalam publikasi tingkat lokal/universitas = 19.00 kali.  </v>
      </c>
      <c r="E83" s="248">
        <f t="shared" si="2"/>
        <v>1.3289036544850499</v>
      </c>
      <c r="F83" s="119">
        <f>hitung_F1!E596</f>
        <v>2.7333333333333334</v>
      </c>
      <c r="G83" s="132"/>
      <c r="H83" s="323">
        <v>1.3289036544850499</v>
      </c>
      <c r="I83" s="324">
        <f t="shared" si="3"/>
        <v>3.6323366555924697</v>
      </c>
    </row>
    <row r="84" spans="1:9" s="15" customFormat="1" ht="91.5" customHeight="1" x14ac:dyDescent="0.25">
      <c r="A84" s="129">
        <v>71</v>
      </c>
      <c r="B84" s="130" t="s">
        <v>29</v>
      </c>
      <c r="C84" s="135" t="s">
        <v>729</v>
      </c>
      <c r="D84" s="117" t="str">
        <f>hitung_F1!G598&amp;" "&amp;hitung_F1!G599</f>
        <v xml:space="preserve">Keterlibatan mahasiswa dalam kegiatan penelitian dosen.  Rasio jumlah mahasiswa yang terlibat dalam penelitian dosen terhadap jumlah mahasiswa yang mengambil tugas akhir pada TS = 30.00%. </v>
      </c>
      <c r="E84" s="248">
        <f t="shared" si="2"/>
        <v>1.3289036544850499</v>
      </c>
      <c r="F84" s="119">
        <f>hitung_F1!E602</f>
        <v>4</v>
      </c>
      <c r="G84" s="132"/>
      <c r="H84" s="323">
        <v>1.3289036544850499</v>
      </c>
      <c r="I84" s="324">
        <f t="shared" si="3"/>
        <v>5.3156146179401995</v>
      </c>
    </row>
    <row r="85" spans="1:9" s="15" customFormat="1" ht="145.5" customHeight="1" x14ac:dyDescent="0.25">
      <c r="A85" s="129">
        <v>72</v>
      </c>
      <c r="B85" s="130" t="s">
        <v>163</v>
      </c>
      <c r="C85" s="135" t="s">
        <v>730</v>
      </c>
      <c r="D85" s="117" t="str">
        <f>hitung_F1!G604</f>
        <v>Karya yang telah memperoleh Paten/HaKI atau karya yang mendapat pengakuan/penghargaan: …</v>
      </c>
      <c r="E85" s="248">
        <f t="shared" si="2"/>
        <v>1.3289036544850499</v>
      </c>
      <c r="F85" s="119">
        <f>hitung_F1!E608</f>
        <v>4</v>
      </c>
      <c r="G85" s="132"/>
      <c r="H85" s="323">
        <v>1.3289036544850499</v>
      </c>
      <c r="I85" s="324">
        <f t="shared" si="3"/>
        <v>5.3156146179401995</v>
      </c>
    </row>
    <row r="86" spans="1:9" s="15" customFormat="1" ht="119.25" customHeight="1" x14ac:dyDescent="0.25">
      <c r="A86" s="129">
        <v>73</v>
      </c>
      <c r="B86" s="130">
        <v>7.3</v>
      </c>
      <c r="C86" s="135" t="s">
        <v>731</v>
      </c>
      <c r="D86" s="117" t="str">
        <f>hitung_F1!G610&amp;" "&amp;hitung_F1!G611</f>
        <v xml:space="preserve">Rasio keterlibatan dosen di RS Pendidikan (Utama, Afiliasi, dan Satelit) dalam kegiatan pengabdian kepada masyarakat. = 1.00. </v>
      </c>
      <c r="E86" s="248">
        <f t="shared" si="2"/>
        <v>1.3289036544850499</v>
      </c>
      <c r="F86" s="119">
        <f>hitung_F1!E614</f>
        <v>2</v>
      </c>
      <c r="G86" s="132"/>
      <c r="H86" s="323">
        <v>1.3289036544850499</v>
      </c>
      <c r="I86" s="324">
        <f t="shared" si="3"/>
        <v>2.6578073089700998</v>
      </c>
    </row>
    <row r="87" spans="1:9" s="15" customFormat="1" ht="129" customHeight="1" x14ac:dyDescent="0.25">
      <c r="A87" s="129">
        <v>74</v>
      </c>
      <c r="B87" s="130" t="s">
        <v>165</v>
      </c>
      <c r="C87" s="135" t="s">
        <v>207</v>
      </c>
      <c r="D87" s="117" t="str">
        <f>hitung_F1!G616</f>
        <v>Jumlah dan relevansi kerjasama dengan instansi di dalam negeri: …</v>
      </c>
      <c r="E87" s="248">
        <f t="shared" si="2"/>
        <v>1.3289036544850499</v>
      </c>
      <c r="F87" s="119">
        <f>hitung_F1!E622</f>
        <v>4</v>
      </c>
      <c r="G87" s="132"/>
      <c r="H87" s="323">
        <v>1.3289036544850499</v>
      </c>
      <c r="I87" s="324">
        <f t="shared" si="3"/>
        <v>5.3156146179401995</v>
      </c>
    </row>
    <row r="88" spans="1:9" s="15" customFormat="1" ht="120" customHeight="1" thickBot="1" x14ac:dyDescent="0.3">
      <c r="A88" s="249">
        <v>75</v>
      </c>
      <c r="B88" s="250" t="s">
        <v>166</v>
      </c>
      <c r="C88" s="138" t="s">
        <v>208</v>
      </c>
      <c r="D88" s="120" t="str">
        <f>hitung_F1!G624</f>
        <v>Jumlah dan relevansi kerjasama dengan instansi di luar negeri: …</v>
      </c>
      <c r="E88" s="251">
        <f t="shared" si="2"/>
        <v>1.3289036544850499</v>
      </c>
      <c r="F88" s="121">
        <f>hitung_F1!E630</f>
        <v>4</v>
      </c>
      <c r="G88" s="132"/>
      <c r="H88" s="325">
        <v>1.3289036544850499</v>
      </c>
      <c r="I88" s="326">
        <f t="shared" si="3"/>
        <v>5.3156146179401995</v>
      </c>
    </row>
    <row r="89" spans="1:9" s="15" customFormat="1" ht="20.25" customHeight="1" x14ac:dyDescent="0.25">
      <c r="A89" s="139" t="s">
        <v>32</v>
      </c>
      <c r="B89" s="32"/>
      <c r="C89" s="140"/>
      <c r="D89" s="30"/>
      <c r="E89" s="350"/>
      <c r="F89" s="141"/>
      <c r="G89" s="141"/>
      <c r="H89" s="350">
        <f>SUM(H14:H88)</f>
        <v>99.999999999999943</v>
      </c>
      <c r="I89" s="350">
        <f>SUM(I14:I88)</f>
        <v>371.61286314376548</v>
      </c>
    </row>
    <row r="90" spans="1:9" s="39" customFormat="1" ht="15.75" x14ac:dyDescent="0.25">
      <c r="A90" s="114"/>
      <c r="B90" s="42"/>
      <c r="C90" s="88"/>
      <c r="F90" s="44"/>
      <c r="G90" s="44"/>
      <c r="H90" s="44"/>
    </row>
    <row r="91" spans="1:9" s="39" customFormat="1" x14ac:dyDescent="0.25">
      <c r="A91" s="42"/>
      <c r="B91" s="42"/>
      <c r="C91" s="343"/>
      <c r="D91" s="345" t="s">
        <v>311</v>
      </c>
      <c r="E91" s="345"/>
      <c r="F91" s="44"/>
      <c r="G91" s="44"/>
      <c r="H91" s="44"/>
    </row>
    <row r="92" spans="1:9" s="39" customFormat="1" ht="15.75" x14ac:dyDescent="0.25">
      <c r="A92" s="340"/>
      <c r="B92" s="42"/>
      <c r="C92" s="343"/>
      <c r="F92" s="44"/>
      <c r="G92" s="44"/>
      <c r="H92" s="44"/>
    </row>
    <row r="93" spans="1:9" s="39" customFormat="1" ht="15.75" x14ac:dyDescent="0.25">
      <c r="A93" s="340"/>
      <c r="B93" s="42"/>
      <c r="C93" s="343"/>
      <c r="D93" s="643" t="s">
        <v>237</v>
      </c>
      <c r="E93" s="643"/>
      <c r="F93" s="643"/>
      <c r="G93" s="335"/>
      <c r="H93" s="335"/>
    </row>
    <row r="94" spans="1:9" s="39" customFormat="1" x14ac:dyDescent="0.25">
      <c r="A94" s="341"/>
      <c r="B94" s="341"/>
      <c r="C94" s="343"/>
      <c r="D94" s="46"/>
      <c r="E94" s="46"/>
      <c r="F94" s="44"/>
      <c r="G94" s="44"/>
      <c r="H94" s="44"/>
    </row>
    <row r="95" spans="1:9" s="39" customFormat="1" ht="17.25" customHeight="1" x14ac:dyDescent="0.25">
      <c r="A95" s="341"/>
      <c r="B95" s="341"/>
      <c r="C95" s="343"/>
      <c r="E95" s="49"/>
      <c r="F95" s="44"/>
      <c r="G95" s="44"/>
      <c r="H95" s="44"/>
    </row>
    <row r="96" spans="1:9" s="39" customFormat="1" x14ac:dyDescent="0.25">
      <c r="A96" s="341"/>
      <c r="B96" s="341"/>
      <c r="C96" s="343"/>
      <c r="D96" s="49" t="s">
        <v>33</v>
      </c>
      <c r="E96" s="44"/>
      <c r="F96" s="44"/>
      <c r="G96" s="44"/>
      <c r="H96" s="44"/>
    </row>
    <row r="97" spans="1:8" s="39" customFormat="1" x14ac:dyDescent="0.25">
      <c r="A97" s="56"/>
      <c r="B97" s="56"/>
      <c r="C97" s="56"/>
      <c r="F97" s="44"/>
      <c r="G97" s="44"/>
      <c r="H97" s="44"/>
    </row>
    <row r="98" spans="1:8" s="39" customFormat="1" ht="17.25" customHeight="1" x14ac:dyDescent="0.25">
      <c r="A98" s="56"/>
      <c r="B98" s="56"/>
      <c r="C98" s="56"/>
      <c r="D98" s="49"/>
      <c r="E98" s="49"/>
      <c r="F98" s="44"/>
      <c r="G98" s="44"/>
      <c r="H98" s="44"/>
    </row>
    <row r="99" spans="1:8" s="39" customFormat="1" x14ac:dyDescent="0.25">
      <c r="A99" s="56"/>
      <c r="B99" s="56"/>
      <c r="C99" s="56"/>
      <c r="D99" s="49"/>
      <c r="E99" s="49"/>
      <c r="F99" s="44"/>
      <c r="G99" s="44"/>
      <c r="H99" s="44"/>
    </row>
    <row r="100" spans="1:8" s="39" customFormat="1" x14ac:dyDescent="0.25">
      <c r="A100" s="42"/>
      <c r="B100" s="42"/>
      <c r="C100" s="343"/>
      <c r="F100" s="44"/>
      <c r="G100" s="44"/>
      <c r="H100" s="44"/>
    </row>
    <row r="101" spans="1:8" s="39" customFormat="1" x14ac:dyDescent="0.25">
      <c r="A101" s="42"/>
      <c r="B101" s="42"/>
      <c r="C101" s="88"/>
      <c r="F101" s="44"/>
      <c r="G101" s="44"/>
      <c r="H101" s="44"/>
    </row>
    <row r="104" spans="1:8" ht="48" customHeight="1" x14ac:dyDescent="0.25"/>
    <row r="107" spans="1:8" ht="27.75" customHeight="1" x14ac:dyDescent="0.25"/>
    <row r="112" spans="1:8" ht="106.5" customHeight="1" x14ac:dyDescent="0.25"/>
    <row r="113" ht="58.5" customHeight="1" x14ac:dyDescent="0.25"/>
    <row r="118" ht="11.25" customHeight="1" x14ac:dyDescent="0.25"/>
    <row r="124" ht="20.25" customHeight="1" x14ac:dyDescent="0.25"/>
    <row r="126" ht="11.25" customHeight="1" x14ac:dyDescent="0.25"/>
    <row r="130" ht="33" customHeight="1" x14ac:dyDescent="0.25"/>
    <row r="131" ht="11.25" customHeight="1" x14ac:dyDescent="0.25"/>
    <row r="139" ht="15" customHeight="1" x14ac:dyDescent="0.25"/>
    <row r="142" ht="15" customHeight="1" x14ac:dyDescent="0.25"/>
  </sheetData>
  <sheetProtection formatCells="0" formatColumns="0" formatRows="0"/>
  <mergeCells count="7">
    <mergeCell ref="A1:F1"/>
    <mergeCell ref="D93:F93"/>
    <mergeCell ref="A5:C5"/>
    <mergeCell ref="A6:C6"/>
    <mergeCell ref="A7:C7"/>
    <mergeCell ref="A8:C8"/>
    <mergeCell ref="A10:C10"/>
  </mergeCells>
  <pageMargins left="0.95"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
  <sheetViews>
    <sheetView topLeftCell="A8" workbookViewId="0">
      <selection activeCell="H4" sqref="H4:L4"/>
    </sheetView>
  </sheetViews>
  <sheetFormatPr defaultRowHeight="15" x14ac:dyDescent="0.25"/>
  <cols>
    <col min="1" max="1" width="4.7109375" style="39" customWidth="1"/>
    <col min="2" max="2" width="9.42578125" style="39" customWidth="1"/>
    <col min="3" max="3" width="6.7109375" style="44" customWidth="1"/>
    <col min="4" max="5" width="6.85546875" style="44" customWidth="1"/>
    <col min="6" max="6" width="8.140625" style="39" customWidth="1"/>
    <col min="7" max="8" width="13.85546875" style="39" customWidth="1"/>
    <col min="9" max="9" width="37.28515625" style="39" customWidth="1"/>
    <col min="10" max="10" width="29.28515625" style="39" customWidth="1"/>
    <col min="11" max="11" width="6" style="15" customWidth="1"/>
    <col min="12" max="12" width="9.5703125" style="15" bestFit="1" customWidth="1"/>
    <col min="13" max="13" width="14.85546875" style="2" customWidth="1"/>
    <col min="14" max="14" width="11.7109375" style="15" customWidth="1"/>
    <col min="15" max="16384" width="9.140625" style="15"/>
  </cols>
  <sheetData>
    <row r="1" spans="1:19" s="39" customFormat="1" ht="35.25" customHeight="1" x14ac:dyDescent="0.25">
      <c r="A1" s="722" t="s">
        <v>982</v>
      </c>
      <c r="B1" s="722"/>
      <c r="C1" s="722"/>
      <c r="D1" s="722"/>
      <c r="E1" s="722"/>
      <c r="F1" s="722"/>
      <c r="G1" s="722"/>
      <c r="H1" s="722"/>
      <c r="I1" s="722"/>
      <c r="J1" s="722"/>
      <c r="M1" s="42"/>
    </row>
    <row r="2" spans="1:19" s="39" customFormat="1" ht="15.75" x14ac:dyDescent="0.25">
      <c r="A2" s="168"/>
      <c r="C2" s="44"/>
      <c r="D2" s="44"/>
      <c r="E2" s="44"/>
      <c r="M2" s="42"/>
    </row>
    <row r="3" spans="1:19" s="39" customFormat="1" ht="15.75" customHeight="1" x14ac:dyDescent="0.25">
      <c r="A3" s="94" t="s">
        <v>35</v>
      </c>
      <c r="B3" s="94"/>
      <c r="C3" s="94"/>
      <c r="D3" s="44"/>
      <c r="E3" s="165" t="str">
        <f>'F6'!E3</f>
        <v>: &lt;Isi Nama PT&gt;</v>
      </c>
      <c r="F3" s="46"/>
      <c r="G3" s="46"/>
      <c r="H3" s="46"/>
      <c r="M3" s="42"/>
    </row>
    <row r="4" spans="1:19" s="39" customFormat="1" ht="15.75" customHeight="1" x14ac:dyDescent="0.25">
      <c r="A4" s="743" t="s">
        <v>36</v>
      </c>
      <c r="B4" s="743"/>
      <c r="C4" s="743"/>
      <c r="D4" s="44"/>
      <c r="E4" s="165" t="str">
        <f>'F6'!E4</f>
        <v>: &lt;Isi Nama Fakultas&gt;</v>
      </c>
      <c r="F4" s="47"/>
      <c r="G4" s="47"/>
      <c r="H4" s="47"/>
      <c r="M4" s="42"/>
    </row>
    <row r="5" spans="1:19" s="39" customFormat="1" ht="15.75" customHeight="1" x14ac:dyDescent="0.25">
      <c r="A5" s="743" t="s">
        <v>307</v>
      </c>
      <c r="B5" s="743"/>
      <c r="C5" s="743"/>
      <c r="D5" s="743"/>
      <c r="E5" s="165" t="s">
        <v>308</v>
      </c>
      <c r="F5" s="47"/>
      <c r="G5" s="47"/>
      <c r="H5" s="47"/>
      <c r="M5" s="42"/>
    </row>
    <row r="6" spans="1:19" s="39" customFormat="1" x14ac:dyDescent="0.25">
      <c r="A6" s="478" t="s">
        <v>244</v>
      </c>
      <c r="B6" s="478"/>
      <c r="C6" s="478"/>
      <c r="D6" s="169">
        <v>3</v>
      </c>
      <c r="E6" s="478" t="s">
        <v>247</v>
      </c>
      <c r="F6" s="42"/>
      <c r="G6" s="42"/>
      <c r="H6" s="42"/>
      <c r="L6" s="42"/>
    </row>
    <row r="7" spans="1:19" s="39" customFormat="1" ht="15.75" x14ac:dyDescent="0.25">
      <c r="A7" s="644"/>
      <c r="B7" s="644"/>
      <c r="C7" s="644"/>
      <c r="D7" s="47"/>
      <c r="E7" s="47"/>
      <c r="M7" s="42"/>
    </row>
    <row r="8" spans="1:19" s="39" customFormat="1" ht="15.75" x14ac:dyDescent="0.25">
      <c r="A8" s="94" t="s">
        <v>96</v>
      </c>
      <c r="B8" s="473"/>
      <c r="C8" s="473"/>
      <c r="D8" s="473"/>
      <c r="E8" s="473"/>
      <c r="F8" s="473"/>
      <c r="G8" s="473"/>
      <c r="H8" s="473"/>
      <c r="I8" s="473"/>
      <c r="J8" s="473"/>
      <c r="K8" s="473"/>
      <c r="L8" s="473"/>
      <c r="M8" s="473"/>
      <c r="N8" s="473"/>
      <c r="O8" s="473"/>
      <c r="P8" s="473"/>
      <c r="Q8" s="473"/>
      <c r="R8" s="473"/>
      <c r="S8" s="473"/>
    </row>
    <row r="9" spans="1:19" s="39" customFormat="1" ht="15.75" x14ac:dyDescent="0.25">
      <c r="A9" s="94" t="s">
        <v>97</v>
      </c>
      <c r="B9" s="473"/>
      <c r="C9" s="473"/>
      <c r="D9" s="473"/>
      <c r="E9" s="473"/>
      <c r="F9" s="473"/>
      <c r="G9" s="473"/>
      <c r="H9" s="473"/>
      <c r="I9" s="473"/>
      <c r="J9" s="473"/>
      <c r="K9" s="473"/>
      <c r="L9" s="473"/>
      <c r="M9" s="42"/>
    </row>
    <row r="10" spans="1:19" s="30" customFormat="1" ht="15.75" thickBot="1" x14ac:dyDescent="0.3">
      <c r="C10" s="61"/>
      <c r="D10" s="61"/>
      <c r="E10" s="61"/>
      <c r="M10" s="32"/>
    </row>
    <row r="11" spans="1:19" s="30" customFormat="1" ht="30.75" customHeight="1" x14ac:dyDescent="0.25">
      <c r="A11" s="756" t="s">
        <v>1</v>
      </c>
      <c r="B11" s="759" t="s">
        <v>93</v>
      </c>
      <c r="C11" s="759" t="s">
        <v>39</v>
      </c>
      <c r="D11" s="759"/>
      <c r="E11" s="759"/>
      <c r="F11" s="759"/>
      <c r="G11" s="475"/>
      <c r="H11" s="475"/>
      <c r="I11" s="759" t="s">
        <v>248</v>
      </c>
      <c r="J11" s="763" t="s">
        <v>95</v>
      </c>
      <c r="L11" s="766" t="s">
        <v>977</v>
      </c>
      <c r="M11" s="767"/>
      <c r="N11" s="753" t="s">
        <v>112</v>
      </c>
    </row>
    <row r="12" spans="1:19" s="30" customFormat="1" ht="45.75" thickBot="1" x14ac:dyDescent="0.3">
      <c r="A12" s="758"/>
      <c r="B12" s="761"/>
      <c r="C12" s="477" t="s">
        <v>40</v>
      </c>
      <c r="D12" s="477" t="s">
        <v>41</v>
      </c>
      <c r="E12" s="477" t="s">
        <v>245</v>
      </c>
      <c r="F12" s="477" t="s">
        <v>42</v>
      </c>
      <c r="G12" s="477" t="s">
        <v>1092</v>
      </c>
      <c r="H12" s="485" t="s">
        <v>1093</v>
      </c>
      <c r="I12" s="762"/>
      <c r="J12" s="765"/>
      <c r="K12" s="486"/>
      <c r="L12" s="550" t="s">
        <v>5</v>
      </c>
      <c r="M12" s="551" t="s">
        <v>110</v>
      </c>
      <c r="N12" s="755"/>
      <c r="O12" s="486"/>
    </row>
    <row r="13" spans="1:19" s="30" customFormat="1" x14ac:dyDescent="0.25">
      <c r="A13" s="126">
        <v>1</v>
      </c>
      <c r="B13" s="183" t="s">
        <v>64</v>
      </c>
      <c r="C13" s="163">
        <v>4</v>
      </c>
      <c r="D13" s="163">
        <v>4</v>
      </c>
      <c r="E13" s="163">
        <v>4</v>
      </c>
      <c r="F13" s="452">
        <f>SUM(C13:E13)/3</f>
        <v>4</v>
      </c>
      <c r="G13" s="452">
        <f>F12_form_validator!H8</f>
        <v>3</v>
      </c>
      <c r="H13" s="552">
        <f>F12_form_validator!J8</f>
        <v>3.5</v>
      </c>
      <c r="I13" s="490">
        <v>0</v>
      </c>
      <c r="J13" s="491"/>
      <c r="K13" s="486"/>
      <c r="L13" s="492">
        <v>1.8518518518518516</v>
      </c>
      <c r="M13" s="493">
        <f t="shared" ref="M13:M57" si="0">F13*L13</f>
        <v>7.4074074074074066</v>
      </c>
      <c r="N13" s="494">
        <v>4</v>
      </c>
      <c r="O13" s="486"/>
    </row>
    <row r="14" spans="1:19" s="30" customFormat="1" x14ac:dyDescent="0.25">
      <c r="A14" s="189">
        <v>2</v>
      </c>
      <c r="B14" s="190" t="s">
        <v>65</v>
      </c>
      <c r="C14" s="163">
        <v>4</v>
      </c>
      <c r="D14" s="163">
        <v>4</v>
      </c>
      <c r="E14" s="163">
        <v>4</v>
      </c>
      <c r="F14" s="452">
        <f t="shared" ref="F14:F57" si="1">SUM(C14:E14)/3</f>
        <v>4</v>
      </c>
      <c r="G14" s="452">
        <f>F12_form_validator!H9</f>
        <v>3</v>
      </c>
      <c r="H14" s="552">
        <f>F12_form_validator!J9</f>
        <v>3.5</v>
      </c>
      <c r="I14" s="523">
        <v>0</v>
      </c>
      <c r="J14" s="495"/>
      <c r="K14" s="486"/>
      <c r="L14" s="496">
        <v>1.8518518518518516</v>
      </c>
      <c r="M14" s="493">
        <f t="shared" si="0"/>
        <v>7.4074074074074066</v>
      </c>
      <c r="N14" s="498">
        <v>4</v>
      </c>
      <c r="O14" s="486"/>
    </row>
    <row r="15" spans="1:19" s="30" customFormat="1" x14ac:dyDescent="0.25">
      <c r="A15" s="189">
        <v>3</v>
      </c>
      <c r="B15" s="190">
        <v>1.2</v>
      </c>
      <c r="C15" s="163">
        <v>4</v>
      </c>
      <c r="D15" s="163">
        <v>4</v>
      </c>
      <c r="E15" s="163">
        <v>4</v>
      </c>
      <c r="F15" s="452">
        <f t="shared" si="1"/>
        <v>4</v>
      </c>
      <c r="G15" s="452">
        <f>F12_form_validator!H10</f>
        <v>3</v>
      </c>
      <c r="H15" s="552">
        <f>F12_form_validator!J10</f>
        <v>3.5</v>
      </c>
      <c r="I15" s="523">
        <v>0</v>
      </c>
      <c r="J15" s="495"/>
      <c r="K15" s="486"/>
      <c r="L15" s="496">
        <v>1.8518518518518516</v>
      </c>
      <c r="M15" s="493">
        <f t="shared" si="0"/>
        <v>7.4074074074074066</v>
      </c>
      <c r="N15" s="498">
        <v>4</v>
      </c>
      <c r="O15" s="486"/>
    </row>
    <row r="16" spans="1:19" s="30" customFormat="1" x14ac:dyDescent="0.25">
      <c r="A16" s="189">
        <v>4</v>
      </c>
      <c r="B16" s="190">
        <v>2.1</v>
      </c>
      <c r="C16" s="163">
        <v>4</v>
      </c>
      <c r="D16" s="163">
        <v>4</v>
      </c>
      <c r="E16" s="163">
        <v>4</v>
      </c>
      <c r="F16" s="452">
        <f t="shared" si="1"/>
        <v>4</v>
      </c>
      <c r="G16" s="452">
        <f>F12_form_validator!H11</f>
        <v>3</v>
      </c>
      <c r="H16" s="552">
        <f>F12_form_validator!J11</f>
        <v>3.5</v>
      </c>
      <c r="I16" s="523">
        <v>0</v>
      </c>
      <c r="J16" s="495"/>
      <c r="K16" s="486"/>
      <c r="L16" s="496">
        <v>3.333333333333333</v>
      </c>
      <c r="M16" s="493">
        <f t="shared" si="0"/>
        <v>13.333333333333332</v>
      </c>
      <c r="N16" s="498">
        <v>4</v>
      </c>
      <c r="O16" s="486"/>
    </row>
    <row r="17" spans="1:15" s="30" customFormat="1" x14ac:dyDescent="0.25">
      <c r="A17" s="189">
        <v>5</v>
      </c>
      <c r="B17" s="190">
        <v>2.2000000000000002</v>
      </c>
      <c r="C17" s="163">
        <v>4</v>
      </c>
      <c r="D17" s="163">
        <v>4</v>
      </c>
      <c r="E17" s="163">
        <v>4</v>
      </c>
      <c r="F17" s="452">
        <f t="shared" si="1"/>
        <v>4</v>
      </c>
      <c r="G17" s="452">
        <f>F12_form_validator!H12</f>
        <v>3</v>
      </c>
      <c r="H17" s="552">
        <f>F12_form_validator!J12</f>
        <v>3.5</v>
      </c>
      <c r="I17" s="523">
        <v>0</v>
      </c>
      <c r="J17" s="495"/>
      <c r="K17" s="486"/>
      <c r="L17" s="496">
        <v>1.6666666666666665</v>
      </c>
      <c r="M17" s="493">
        <f t="shared" si="0"/>
        <v>6.6666666666666661</v>
      </c>
      <c r="N17" s="498">
        <v>4</v>
      </c>
      <c r="O17" s="486"/>
    </row>
    <row r="18" spans="1:15" s="30" customFormat="1" x14ac:dyDescent="0.25">
      <c r="A18" s="189">
        <v>6</v>
      </c>
      <c r="B18" s="190">
        <v>2.2999999999999998</v>
      </c>
      <c r="C18" s="163">
        <v>4</v>
      </c>
      <c r="D18" s="163">
        <v>4</v>
      </c>
      <c r="E18" s="163">
        <v>4</v>
      </c>
      <c r="F18" s="452">
        <f t="shared" si="1"/>
        <v>4</v>
      </c>
      <c r="G18" s="452">
        <f>F12_form_validator!H13</f>
        <v>3</v>
      </c>
      <c r="H18" s="552">
        <f>F12_form_validator!J13</f>
        <v>3.5</v>
      </c>
      <c r="I18" s="523">
        <v>0</v>
      </c>
      <c r="J18" s="495"/>
      <c r="K18" s="486"/>
      <c r="L18" s="496">
        <v>3.333333333333333</v>
      </c>
      <c r="M18" s="493">
        <f t="shared" si="0"/>
        <v>13.333333333333332</v>
      </c>
      <c r="N18" s="498">
        <v>4</v>
      </c>
      <c r="O18" s="486"/>
    </row>
    <row r="19" spans="1:15" s="30" customFormat="1" ht="15.75" x14ac:dyDescent="0.25">
      <c r="A19" s="189">
        <v>7</v>
      </c>
      <c r="B19" s="190">
        <v>2.4</v>
      </c>
      <c r="C19" s="163">
        <v>4</v>
      </c>
      <c r="D19" s="163">
        <v>4</v>
      </c>
      <c r="E19" s="163">
        <v>4</v>
      </c>
      <c r="F19" s="452">
        <f t="shared" si="1"/>
        <v>4</v>
      </c>
      <c r="G19" s="452">
        <f>F12_form_validator!H14</f>
        <v>3</v>
      </c>
      <c r="H19" s="452">
        <f>F12_form_validator!J14</f>
        <v>3.5</v>
      </c>
      <c r="I19" s="408">
        <v>0</v>
      </c>
      <c r="J19" s="171"/>
      <c r="L19" s="433">
        <v>3.333333333333333</v>
      </c>
      <c r="M19" s="432">
        <f t="shared" si="0"/>
        <v>13.333333333333332</v>
      </c>
      <c r="N19" s="435">
        <v>4</v>
      </c>
    </row>
    <row r="20" spans="1:15" s="30" customFormat="1" ht="15.75" x14ac:dyDescent="0.25">
      <c r="A20" s="189">
        <v>8</v>
      </c>
      <c r="B20" s="190" t="s">
        <v>68</v>
      </c>
      <c r="C20" s="163">
        <v>4</v>
      </c>
      <c r="D20" s="163">
        <v>4</v>
      </c>
      <c r="E20" s="163">
        <v>4</v>
      </c>
      <c r="F20" s="452">
        <f t="shared" si="1"/>
        <v>4</v>
      </c>
      <c r="G20" s="452">
        <f>F12_form_validator!H15</f>
        <v>3</v>
      </c>
      <c r="H20" s="452">
        <f>F12_form_validator!J15</f>
        <v>3.5</v>
      </c>
      <c r="I20" s="408">
        <v>0</v>
      </c>
      <c r="J20" s="171"/>
      <c r="L20" s="433">
        <v>3.333333333333333</v>
      </c>
      <c r="M20" s="432">
        <f t="shared" si="0"/>
        <v>13.333333333333332</v>
      </c>
      <c r="N20" s="435">
        <v>4</v>
      </c>
    </row>
    <row r="21" spans="1:15" s="30" customFormat="1" ht="15.75" x14ac:dyDescent="0.25">
      <c r="A21" s="189">
        <v>9</v>
      </c>
      <c r="B21" s="190" t="s">
        <v>70</v>
      </c>
      <c r="C21" s="163">
        <v>4</v>
      </c>
      <c r="D21" s="163">
        <v>4</v>
      </c>
      <c r="E21" s="163">
        <v>4</v>
      </c>
      <c r="F21" s="452">
        <f t="shared" si="1"/>
        <v>4</v>
      </c>
      <c r="G21" s="452">
        <f>F12_form_validator!H16</f>
        <v>3</v>
      </c>
      <c r="H21" s="452">
        <f>F12_form_validator!J16</f>
        <v>3.5</v>
      </c>
      <c r="I21" s="408">
        <v>0</v>
      </c>
      <c r="J21" s="171"/>
      <c r="L21" s="433">
        <v>1.6666666666666665</v>
      </c>
      <c r="M21" s="432">
        <f t="shared" si="0"/>
        <v>6.6666666666666661</v>
      </c>
      <c r="N21" s="435">
        <v>4</v>
      </c>
    </row>
    <row r="22" spans="1:15" s="30" customFormat="1" x14ac:dyDescent="0.25">
      <c r="A22" s="189">
        <v>10</v>
      </c>
      <c r="B22" s="190" t="s">
        <v>72</v>
      </c>
      <c r="C22" s="163">
        <v>4</v>
      </c>
      <c r="D22" s="163">
        <v>4</v>
      </c>
      <c r="E22" s="163">
        <v>4</v>
      </c>
      <c r="F22" s="452">
        <f t="shared" si="1"/>
        <v>4</v>
      </c>
      <c r="G22" s="452">
        <f>F12_form_validator!H17</f>
        <v>3</v>
      </c>
      <c r="H22" s="553">
        <f>F12_form_validator!J17</f>
        <v>3.5</v>
      </c>
      <c r="I22" s="531">
        <v>0</v>
      </c>
      <c r="J22" s="502"/>
      <c r="K22" s="503"/>
      <c r="L22" s="504">
        <v>3.3670033670033668</v>
      </c>
      <c r="M22" s="554">
        <f t="shared" si="0"/>
        <v>13.468013468013467</v>
      </c>
      <c r="N22" s="506">
        <v>4</v>
      </c>
      <c r="O22" s="503"/>
    </row>
    <row r="23" spans="1:15" s="30" customFormat="1" x14ac:dyDescent="0.25">
      <c r="A23" s="189">
        <v>11</v>
      </c>
      <c r="B23" s="190" t="s">
        <v>9</v>
      </c>
      <c r="C23" s="163">
        <v>4</v>
      </c>
      <c r="D23" s="163">
        <v>4</v>
      </c>
      <c r="E23" s="163">
        <v>4</v>
      </c>
      <c r="F23" s="452">
        <f t="shared" si="1"/>
        <v>4</v>
      </c>
      <c r="G23" s="452">
        <f>F12_form_validator!H18</f>
        <v>3</v>
      </c>
      <c r="H23" s="553">
        <f>F12_form_validator!J18</f>
        <v>3.5</v>
      </c>
      <c r="I23" s="531">
        <v>0</v>
      </c>
      <c r="J23" s="502"/>
      <c r="K23" s="503"/>
      <c r="L23" s="504">
        <v>0.33670033670033672</v>
      </c>
      <c r="M23" s="554">
        <f t="shared" si="0"/>
        <v>1.3468013468013469</v>
      </c>
      <c r="N23" s="506">
        <v>4</v>
      </c>
      <c r="O23" s="503"/>
    </row>
    <row r="24" spans="1:15" s="30" customFormat="1" x14ac:dyDescent="0.25">
      <c r="A24" s="189">
        <v>12</v>
      </c>
      <c r="B24" s="190" t="s">
        <v>10</v>
      </c>
      <c r="C24" s="163">
        <v>4</v>
      </c>
      <c r="D24" s="163">
        <v>4</v>
      </c>
      <c r="E24" s="163">
        <v>4</v>
      </c>
      <c r="F24" s="452">
        <f t="shared" si="1"/>
        <v>4</v>
      </c>
      <c r="G24" s="452">
        <f>F12_form_validator!H19</f>
        <v>3</v>
      </c>
      <c r="H24" s="553">
        <f>F12_form_validator!J19</f>
        <v>3.5</v>
      </c>
      <c r="I24" s="531">
        <v>0</v>
      </c>
      <c r="J24" s="502"/>
      <c r="K24" s="503"/>
      <c r="L24" s="504">
        <v>0.67340067340067344</v>
      </c>
      <c r="M24" s="554">
        <f t="shared" si="0"/>
        <v>2.6936026936026938</v>
      </c>
      <c r="N24" s="506">
        <v>4</v>
      </c>
      <c r="O24" s="503"/>
    </row>
    <row r="25" spans="1:15" s="30" customFormat="1" x14ac:dyDescent="0.25">
      <c r="A25" s="189">
        <v>13</v>
      </c>
      <c r="B25" s="190">
        <v>3.2</v>
      </c>
      <c r="C25" s="163">
        <v>4</v>
      </c>
      <c r="D25" s="163">
        <v>4</v>
      </c>
      <c r="E25" s="163">
        <v>4</v>
      </c>
      <c r="F25" s="452">
        <f t="shared" si="1"/>
        <v>4</v>
      </c>
      <c r="G25" s="452">
        <f>F12_form_validator!H20</f>
        <v>3</v>
      </c>
      <c r="H25" s="553">
        <f>F12_form_validator!J20</f>
        <v>3.5</v>
      </c>
      <c r="I25" s="531">
        <v>0</v>
      </c>
      <c r="J25" s="502"/>
      <c r="K25" s="503"/>
      <c r="L25" s="504">
        <v>3.3670033670033668</v>
      </c>
      <c r="M25" s="554">
        <f t="shared" si="0"/>
        <v>13.468013468013467</v>
      </c>
      <c r="N25" s="506">
        <v>4</v>
      </c>
      <c r="O25" s="503"/>
    </row>
    <row r="26" spans="1:15" s="30" customFormat="1" x14ac:dyDescent="0.25">
      <c r="A26" s="189">
        <v>14</v>
      </c>
      <c r="B26" s="190">
        <v>3.3</v>
      </c>
      <c r="C26" s="163">
        <v>4</v>
      </c>
      <c r="D26" s="163">
        <v>4</v>
      </c>
      <c r="E26" s="163">
        <v>4</v>
      </c>
      <c r="F26" s="452">
        <f t="shared" si="1"/>
        <v>4</v>
      </c>
      <c r="G26" s="452">
        <f>F12_form_validator!H21</f>
        <v>3</v>
      </c>
      <c r="H26" s="553">
        <f>F12_form_validator!J21</f>
        <v>3.5</v>
      </c>
      <c r="I26" s="531">
        <v>0</v>
      </c>
      <c r="J26" s="502"/>
      <c r="K26" s="503"/>
      <c r="L26" s="504">
        <v>3.3670033670033668</v>
      </c>
      <c r="M26" s="554">
        <f t="shared" si="0"/>
        <v>13.468013468013467</v>
      </c>
      <c r="N26" s="506">
        <v>4</v>
      </c>
      <c r="O26" s="503"/>
    </row>
    <row r="27" spans="1:15" s="30" customFormat="1" x14ac:dyDescent="0.25">
      <c r="A27" s="189">
        <v>15</v>
      </c>
      <c r="B27" s="190" t="s">
        <v>175</v>
      </c>
      <c r="C27" s="163">
        <v>4</v>
      </c>
      <c r="D27" s="163">
        <v>4</v>
      </c>
      <c r="E27" s="163">
        <v>4</v>
      </c>
      <c r="F27" s="452">
        <f t="shared" si="1"/>
        <v>4</v>
      </c>
      <c r="G27" s="452">
        <f>F12_form_validator!H22</f>
        <v>3</v>
      </c>
      <c r="H27" s="553">
        <f>F12_form_validator!J22</f>
        <v>3.5</v>
      </c>
      <c r="I27" s="531">
        <v>0</v>
      </c>
      <c r="J27" s="502"/>
      <c r="K27" s="503"/>
      <c r="L27" s="504">
        <v>5.2287581699346406</v>
      </c>
      <c r="M27" s="554">
        <f t="shared" si="0"/>
        <v>20.915032679738562</v>
      </c>
      <c r="N27" s="506">
        <v>4</v>
      </c>
      <c r="O27" s="503"/>
    </row>
    <row r="28" spans="1:15" s="30" customFormat="1" x14ac:dyDescent="0.25">
      <c r="A28" s="189">
        <v>16</v>
      </c>
      <c r="B28" s="190" t="s">
        <v>176</v>
      </c>
      <c r="C28" s="163">
        <v>4</v>
      </c>
      <c r="D28" s="163">
        <v>4</v>
      </c>
      <c r="E28" s="163">
        <v>4</v>
      </c>
      <c r="F28" s="452">
        <f t="shared" si="1"/>
        <v>4</v>
      </c>
      <c r="G28" s="452">
        <f>F12_form_validator!H23</f>
        <v>3</v>
      </c>
      <c r="H28" s="553">
        <f>F12_form_validator!J23</f>
        <v>3.5</v>
      </c>
      <c r="I28" s="531">
        <v>0</v>
      </c>
      <c r="J28" s="502"/>
      <c r="K28" s="503"/>
      <c r="L28" s="504">
        <v>2.6143790849673203</v>
      </c>
      <c r="M28" s="554">
        <f t="shared" si="0"/>
        <v>10.457516339869281</v>
      </c>
      <c r="N28" s="506">
        <v>4</v>
      </c>
      <c r="O28" s="503"/>
    </row>
    <row r="29" spans="1:15" s="30" customFormat="1" ht="15.75" x14ac:dyDescent="0.25">
      <c r="A29" s="189">
        <v>17</v>
      </c>
      <c r="B29" s="190" t="s">
        <v>178</v>
      </c>
      <c r="C29" s="163">
        <v>4</v>
      </c>
      <c r="D29" s="163">
        <v>4</v>
      </c>
      <c r="E29" s="163">
        <v>4</v>
      </c>
      <c r="F29" s="452">
        <f t="shared" si="1"/>
        <v>4</v>
      </c>
      <c r="G29" s="452">
        <f>F12_form_validator!H24</f>
        <v>3</v>
      </c>
      <c r="H29" s="452">
        <f>F12_form_validator!J24</f>
        <v>3.5</v>
      </c>
      <c r="I29" s="408">
        <v>0</v>
      </c>
      <c r="J29" s="171"/>
      <c r="L29" s="433">
        <v>2.6143790849673203</v>
      </c>
      <c r="M29" s="432">
        <f t="shared" si="0"/>
        <v>10.457516339869281</v>
      </c>
      <c r="N29" s="435">
        <v>4</v>
      </c>
    </row>
    <row r="30" spans="1:15" s="30" customFormat="1" ht="15.75" x14ac:dyDescent="0.25">
      <c r="A30" s="189">
        <v>18</v>
      </c>
      <c r="B30" s="190" t="s">
        <v>180</v>
      </c>
      <c r="C30" s="163">
        <v>4</v>
      </c>
      <c r="D30" s="163">
        <v>4</v>
      </c>
      <c r="E30" s="163">
        <v>4</v>
      </c>
      <c r="F30" s="452">
        <f t="shared" si="1"/>
        <v>4</v>
      </c>
      <c r="G30" s="452">
        <f>F12_form_validator!H25</f>
        <v>3</v>
      </c>
      <c r="H30" s="452">
        <f>F12_form_validator!J25</f>
        <v>3.5</v>
      </c>
      <c r="I30" s="408">
        <v>0</v>
      </c>
      <c r="J30" s="171"/>
      <c r="L30" s="433">
        <v>2.6143790849673203</v>
      </c>
      <c r="M30" s="432">
        <f t="shared" si="0"/>
        <v>10.457516339869281</v>
      </c>
      <c r="N30" s="435">
        <v>4</v>
      </c>
    </row>
    <row r="31" spans="1:15" s="30" customFormat="1" ht="15.75" x14ac:dyDescent="0.25">
      <c r="A31" s="189">
        <v>19</v>
      </c>
      <c r="B31" s="190" t="s">
        <v>181</v>
      </c>
      <c r="C31" s="163">
        <v>4</v>
      </c>
      <c r="D31" s="163">
        <v>4</v>
      </c>
      <c r="E31" s="163">
        <v>4</v>
      </c>
      <c r="F31" s="452">
        <f t="shared" si="1"/>
        <v>4</v>
      </c>
      <c r="G31" s="452">
        <f>F12_form_validator!H26</f>
        <v>3</v>
      </c>
      <c r="H31" s="452">
        <f>F12_form_validator!J26</f>
        <v>3.5</v>
      </c>
      <c r="I31" s="408">
        <v>0</v>
      </c>
      <c r="J31" s="171"/>
      <c r="L31" s="433">
        <v>2.6143790849673203</v>
      </c>
      <c r="M31" s="432">
        <f t="shared" si="0"/>
        <v>10.457516339869281</v>
      </c>
      <c r="N31" s="435">
        <v>4</v>
      </c>
    </row>
    <row r="32" spans="1:15" s="30" customFormat="1" x14ac:dyDescent="0.25">
      <c r="A32" s="189">
        <v>20</v>
      </c>
      <c r="B32" s="190" t="s">
        <v>182</v>
      </c>
      <c r="C32" s="163">
        <v>4</v>
      </c>
      <c r="D32" s="163">
        <v>4</v>
      </c>
      <c r="E32" s="163">
        <v>4</v>
      </c>
      <c r="F32" s="452">
        <f t="shared" si="1"/>
        <v>4</v>
      </c>
      <c r="G32" s="452">
        <f>F12_form_validator!H27</f>
        <v>3</v>
      </c>
      <c r="H32" s="555">
        <f>F12_form_validator!J27</f>
        <v>3.5</v>
      </c>
      <c r="I32" s="556">
        <v>0</v>
      </c>
      <c r="J32" s="509"/>
      <c r="K32" s="510"/>
      <c r="L32" s="511">
        <v>1.3071895424836601</v>
      </c>
      <c r="M32" s="557">
        <f t="shared" si="0"/>
        <v>5.2287581699346406</v>
      </c>
      <c r="N32" s="513">
        <v>4</v>
      </c>
      <c r="O32" s="510"/>
    </row>
    <row r="33" spans="1:15" s="30" customFormat="1" x14ac:dyDescent="0.25">
      <c r="A33" s="189">
        <v>21</v>
      </c>
      <c r="B33" s="190" t="s">
        <v>76</v>
      </c>
      <c r="C33" s="163">
        <v>4</v>
      </c>
      <c r="D33" s="163">
        <v>4</v>
      </c>
      <c r="E33" s="163">
        <v>4</v>
      </c>
      <c r="F33" s="452">
        <f t="shared" si="1"/>
        <v>4</v>
      </c>
      <c r="G33" s="452">
        <f>F12_form_validator!H28</f>
        <v>3</v>
      </c>
      <c r="H33" s="555">
        <f>F12_form_validator!J28</f>
        <v>3.5</v>
      </c>
      <c r="I33" s="556">
        <v>0</v>
      </c>
      <c r="J33" s="509"/>
      <c r="K33" s="510"/>
      <c r="L33" s="511">
        <v>2.6143790849673203</v>
      </c>
      <c r="M33" s="557">
        <f t="shared" si="0"/>
        <v>10.457516339869281</v>
      </c>
      <c r="N33" s="513">
        <v>4</v>
      </c>
      <c r="O33" s="510"/>
    </row>
    <row r="34" spans="1:15" s="30" customFormat="1" x14ac:dyDescent="0.25">
      <c r="A34" s="189">
        <v>22</v>
      </c>
      <c r="B34" s="190">
        <v>4.2</v>
      </c>
      <c r="C34" s="163">
        <v>4</v>
      </c>
      <c r="D34" s="163">
        <v>4</v>
      </c>
      <c r="E34" s="163">
        <v>4</v>
      </c>
      <c r="F34" s="452">
        <f t="shared" si="1"/>
        <v>4</v>
      </c>
      <c r="G34" s="452">
        <f>F12_form_validator!H29</f>
        <v>3</v>
      </c>
      <c r="H34" s="555">
        <f>F12_form_validator!J29</f>
        <v>3.5</v>
      </c>
      <c r="I34" s="556">
        <v>0</v>
      </c>
      <c r="J34" s="509"/>
      <c r="K34" s="510"/>
      <c r="L34" s="511">
        <v>2.6143790849673203</v>
      </c>
      <c r="M34" s="557">
        <f t="shared" si="0"/>
        <v>10.457516339869281</v>
      </c>
      <c r="N34" s="513">
        <v>4</v>
      </c>
      <c r="O34" s="510"/>
    </row>
    <row r="35" spans="1:15" s="30" customFormat="1" x14ac:dyDescent="0.25">
      <c r="A35" s="189">
        <v>23</v>
      </c>
      <c r="B35" s="190">
        <v>5.0999999999999996</v>
      </c>
      <c r="C35" s="163">
        <v>4</v>
      </c>
      <c r="D35" s="163">
        <v>4</v>
      </c>
      <c r="E35" s="163">
        <v>4</v>
      </c>
      <c r="F35" s="452">
        <f t="shared" si="1"/>
        <v>4</v>
      </c>
      <c r="G35" s="452">
        <f>F12_form_validator!H30</f>
        <v>3</v>
      </c>
      <c r="H35" s="555">
        <f>F12_form_validator!J30</f>
        <v>3.5</v>
      </c>
      <c r="I35" s="556">
        <v>0</v>
      </c>
      <c r="J35" s="509"/>
      <c r="K35" s="510"/>
      <c r="L35" s="511">
        <v>1.8518518518518516</v>
      </c>
      <c r="M35" s="557">
        <f t="shared" si="0"/>
        <v>7.4074074074074066</v>
      </c>
      <c r="N35" s="513">
        <v>4</v>
      </c>
      <c r="O35" s="510"/>
    </row>
    <row r="36" spans="1:15" s="30" customFormat="1" x14ac:dyDescent="0.25">
      <c r="A36" s="189">
        <v>24</v>
      </c>
      <c r="B36" s="190">
        <v>5.2</v>
      </c>
      <c r="C36" s="163">
        <v>4</v>
      </c>
      <c r="D36" s="163">
        <v>4</v>
      </c>
      <c r="E36" s="163">
        <v>4</v>
      </c>
      <c r="F36" s="452">
        <f t="shared" si="1"/>
        <v>4</v>
      </c>
      <c r="G36" s="452">
        <f>F12_form_validator!H31</f>
        <v>3</v>
      </c>
      <c r="H36" s="555">
        <f>F12_form_validator!J31</f>
        <v>3.5</v>
      </c>
      <c r="I36" s="556">
        <v>0</v>
      </c>
      <c r="J36" s="509"/>
      <c r="K36" s="510"/>
      <c r="L36" s="511">
        <v>1.8518518518518516</v>
      </c>
      <c r="M36" s="557">
        <f t="shared" si="0"/>
        <v>7.4074074074074066</v>
      </c>
      <c r="N36" s="513">
        <v>4</v>
      </c>
      <c r="O36" s="510"/>
    </row>
    <row r="37" spans="1:15" s="30" customFormat="1" x14ac:dyDescent="0.25">
      <c r="A37" s="189">
        <v>25</v>
      </c>
      <c r="B37" s="190">
        <v>5.3</v>
      </c>
      <c r="C37" s="163">
        <v>4</v>
      </c>
      <c r="D37" s="163">
        <v>4</v>
      </c>
      <c r="E37" s="163">
        <v>4</v>
      </c>
      <c r="F37" s="452">
        <f t="shared" si="1"/>
        <v>4</v>
      </c>
      <c r="G37" s="452">
        <f>F12_form_validator!H32</f>
        <v>3</v>
      </c>
      <c r="H37" s="555">
        <f>F12_form_validator!J32</f>
        <v>3.5</v>
      </c>
      <c r="I37" s="556">
        <v>0</v>
      </c>
      <c r="J37" s="509"/>
      <c r="K37" s="510"/>
      <c r="L37" s="511">
        <v>1.8518518518518516</v>
      </c>
      <c r="M37" s="557">
        <f t="shared" si="0"/>
        <v>7.4074074074074066</v>
      </c>
      <c r="N37" s="513">
        <v>4</v>
      </c>
      <c r="O37" s="510"/>
    </row>
    <row r="38" spans="1:15" s="30" customFormat="1" x14ac:dyDescent="0.25">
      <c r="A38" s="189">
        <v>26</v>
      </c>
      <c r="B38" s="190" t="s">
        <v>187</v>
      </c>
      <c r="C38" s="163">
        <v>4</v>
      </c>
      <c r="D38" s="163">
        <v>4</v>
      </c>
      <c r="E38" s="163">
        <v>4</v>
      </c>
      <c r="F38" s="452">
        <f t="shared" si="1"/>
        <v>4</v>
      </c>
      <c r="G38" s="452">
        <f>F12_form_validator!H33</f>
        <v>3</v>
      </c>
      <c r="H38" s="555">
        <f>F12_form_validator!J33</f>
        <v>3.5</v>
      </c>
      <c r="I38" s="556">
        <v>0</v>
      </c>
      <c r="J38" s="509"/>
      <c r="K38" s="510"/>
      <c r="L38" s="511">
        <v>1.4814814814814814</v>
      </c>
      <c r="M38" s="557">
        <f t="shared" si="0"/>
        <v>5.9259259259259256</v>
      </c>
      <c r="N38" s="513">
        <v>4</v>
      </c>
      <c r="O38" s="510"/>
    </row>
    <row r="39" spans="1:15" s="30" customFormat="1" ht="15.75" x14ac:dyDescent="0.25">
      <c r="A39" s="189">
        <v>27</v>
      </c>
      <c r="B39" s="190" t="s">
        <v>189</v>
      </c>
      <c r="C39" s="163">
        <v>4</v>
      </c>
      <c r="D39" s="163">
        <v>4</v>
      </c>
      <c r="E39" s="163">
        <v>4</v>
      </c>
      <c r="F39" s="452">
        <f t="shared" si="1"/>
        <v>4</v>
      </c>
      <c r="G39" s="452">
        <f>F12_form_validator!H34</f>
        <v>3</v>
      </c>
      <c r="H39" s="452">
        <f>F12_form_validator!J34</f>
        <v>3.5</v>
      </c>
      <c r="I39" s="408">
        <v>0</v>
      </c>
      <c r="J39" s="171"/>
      <c r="L39" s="433">
        <v>1.4814814814814814</v>
      </c>
      <c r="M39" s="432">
        <f t="shared" si="0"/>
        <v>5.9259259259259256</v>
      </c>
      <c r="N39" s="435">
        <v>4</v>
      </c>
    </row>
    <row r="40" spans="1:15" s="30" customFormat="1" ht="15.75" x14ac:dyDescent="0.25">
      <c r="A40" s="189">
        <v>28</v>
      </c>
      <c r="B40" s="190" t="s">
        <v>191</v>
      </c>
      <c r="C40" s="163">
        <v>4</v>
      </c>
      <c r="D40" s="163">
        <v>4</v>
      </c>
      <c r="E40" s="163">
        <v>4</v>
      </c>
      <c r="F40" s="452">
        <f t="shared" si="1"/>
        <v>4</v>
      </c>
      <c r="G40" s="452">
        <f>F12_form_validator!H35</f>
        <v>3</v>
      </c>
      <c r="H40" s="452">
        <f>F12_form_validator!J35</f>
        <v>3.5</v>
      </c>
      <c r="I40" s="408">
        <v>0</v>
      </c>
      <c r="J40" s="171"/>
      <c r="L40" s="433">
        <v>1.4814814814814814</v>
      </c>
      <c r="M40" s="432">
        <f t="shared" si="0"/>
        <v>5.9259259259259256</v>
      </c>
      <c r="N40" s="435">
        <v>4</v>
      </c>
    </row>
    <row r="41" spans="1:15" s="30" customFormat="1" ht="15.75" x14ac:dyDescent="0.25">
      <c r="A41" s="189">
        <v>29</v>
      </c>
      <c r="B41" s="190" t="s">
        <v>20</v>
      </c>
      <c r="C41" s="163">
        <v>4</v>
      </c>
      <c r="D41" s="163">
        <v>4</v>
      </c>
      <c r="E41" s="163">
        <v>4</v>
      </c>
      <c r="F41" s="452">
        <f t="shared" si="1"/>
        <v>4</v>
      </c>
      <c r="G41" s="452">
        <f>F12_form_validator!H36</f>
        <v>3</v>
      </c>
      <c r="H41" s="452">
        <f>F12_form_validator!J36</f>
        <v>3.5</v>
      </c>
      <c r="I41" s="408">
        <v>0</v>
      </c>
      <c r="J41" s="171"/>
      <c r="L41" s="433">
        <v>2.9629629629629628</v>
      </c>
      <c r="M41" s="432">
        <f t="shared" si="0"/>
        <v>11.851851851851851</v>
      </c>
      <c r="N41" s="435">
        <v>4</v>
      </c>
    </row>
    <row r="42" spans="1:15" s="30" customFormat="1" ht="15.75" x14ac:dyDescent="0.25">
      <c r="A42" s="189">
        <v>30</v>
      </c>
      <c r="B42" s="190" t="s">
        <v>21</v>
      </c>
      <c r="C42" s="163">
        <v>4</v>
      </c>
      <c r="D42" s="163">
        <v>4</v>
      </c>
      <c r="E42" s="163">
        <v>4</v>
      </c>
      <c r="F42" s="452">
        <f t="shared" si="1"/>
        <v>4</v>
      </c>
      <c r="G42" s="452">
        <f>F12_form_validator!H37</f>
        <v>3</v>
      </c>
      <c r="H42" s="452">
        <f>F12_form_validator!J37</f>
        <v>3.5</v>
      </c>
      <c r="I42" s="408">
        <v>0</v>
      </c>
      <c r="J42" s="171"/>
      <c r="L42" s="433">
        <v>1.4814814814814814</v>
      </c>
      <c r="M42" s="432">
        <f t="shared" si="0"/>
        <v>5.9259259259259256</v>
      </c>
      <c r="N42" s="435">
        <v>4</v>
      </c>
    </row>
    <row r="43" spans="1:15" s="30" customFormat="1" ht="15.75" x14ac:dyDescent="0.25">
      <c r="A43" s="189">
        <v>31</v>
      </c>
      <c r="B43" s="190" t="s">
        <v>22</v>
      </c>
      <c r="C43" s="163">
        <v>4</v>
      </c>
      <c r="D43" s="163">
        <v>4</v>
      </c>
      <c r="E43" s="163">
        <v>4</v>
      </c>
      <c r="F43" s="452">
        <f t="shared" si="1"/>
        <v>4</v>
      </c>
      <c r="G43" s="452">
        <f>F12_form_validator!H38</f>
        <v>3</v>
      </c>
      <c r="H43" s="452">
        <f>F12_form_validator!J38</f>
        <v>3.5</v>
      </c>
      <c r="I43" s="408">
        <v>0</v>
      </c>
      <c r="J43" s="171"/>
      <c r="L43" s="433">
        <v>2.9629629629629628</v>
      </c>
      <c r="M43" s="432">
        <f t="shared" si="0"/>
        <v>11.851851851851851</v>
      </c>
      <c r="N43" s="435">
        <v>4</v>
      </c>
    </row>
    <row r="44" spans="1:15" s="30" customFormat="1" ht="15.75" x14ac:dyDescent="0.25">
      <c r="A44" s="189">
        <v>32</v>
      </c>
      <c r="B44" s="190" t="s">
        <v>23</v>
      </c>
      <c r="C44" s="163">
        <v>4</v>
      </c>
      <c r="D44" s="163">
        <v>4</v>
      </c>
      <c r="E44" s="163">
        <v>4</v>
      </c>
      <c r="F44" s="452">
        <f t="shared" si="1"/>
        <v>4</v>
      </c>
      <c r="G44" s="452">
        <f>F12_form_validator!H39</f>
        <v>3</v>
      </c>
      <c r="H44" s="452">
        <f>F12_form_validator!J39</f>
        <v>3.5</v>
      </c>
      <c r="I44" s="408">
        <v>0</v>
      </c>
      <c r="J44" s="171"/>
      <c r="L44" s="433">
        <v>1.4814814814814814</v>
      </c>
      <c r="M44" s="432">
        <f t="shared" si="0"/>
        <v>5.9259259259259256</v>
      </c>
      <c r="N44" s="435">
        <v>4</v>
      </c>
    </row>
    <row r="45" spans="1:15" s="30" customFormat="1" ht="15.75" x14ac:dyDescent="0.25">
      <c r="A45" s="189">
        <v>33</v>
      </c>
      <c r="B45" s="190" t="s">
        <v>196</v>
      </c>
      <c r="C45" s="163">
        <v>4</v>
      </c>
      <c r="D45" s="163">
        <v>4</v>
      </c>
      <c r="E45" s="163">
        <v>4</v>
      </c>
      <c r="F45" s="452">
        <f t="shared" si="1"/>
        <v>4</v>
      </c>
      <c r="G45" s="452">
        <f>F12_form_validator!H40</f>
        <v>3</v>
      </c>
      <c r="H45" s="452">
        <f>F12_form_validator!J40</f>
        <v>3.5</v>
      </c>
      <c r="I45" s="408">
        <v>0</v>
      </c>
      <c r="J45" s="171"/>
      <c r="L45" s="433">
        <v>2.2222222222222223</v>
      </c>
      <c r="M45" s="432">
        <f t="shared" si="0"/>
        <v>8.8888888888888893</v>
      </c>
      <c r="N45" s="435">
        <v>4</v>
      </c>
    </row>
    <row r="46" spans="1:15" s="30" customFormat="1" ht="15.75" x14ac:dyDescent="0.25">
      <c r="A46" s="189">
        <v>34</v>
      </c>
      <c r="B46" s="190" t="s">
        <v>198</v>
      </c>
      <c r="C46" s="163">
        <v>4</v>
      </c>
      <c r="D46" s="163">
        <v>4</v>
      </c>
      <c r="E46" s="163">
        <v>4</v>
      </c>
      <c r="F46" s="452">
        <f t="shared" si="1"/>
        <v>4</v>
      </c>
      <c r="G46" s="452">
        <f>F12_form_validator!H41</f>
        <v>3</v>
      </c>
      <c r="H46" s="452">
        <f>F12_form_validator!J41</f>
        <v>3.5</v>
      </c>
      <c r="I46" s="408">
        <v>0</v>
      </c>
      <c r="J46" s="171"/>
      <c r="L46" s="433">
        <v>2.2222222222222223</v>
      </c>
      <c r="M46" s="432">
        <f t="shared" si="0"/>
        <v>8.8888888888888893</v>
      </c>
      <c r="N46" s="435">
        <v>4</v>
      </c>
    </row>
    <row r="47" spans="1:15" s="30" customFormat="1" ht="15.75" x14ac:dyDescent="0.25">
      <c r="A47" s="189">
        <v>35</v>
      </c>
      <c r="B47" s="190" t="s">
        <v>24</v>
      </c>
      <c r="C47" s="163">
        <v>4</v>
      </c>
      <c r="D47" s="163">
        <v>4</v>
      </c>
      <c r="E47" s="163">
        <v>4</v>
      </c>
      <c r="F47" s="452">
        <f t="shared" si="1"/>
        <v>4</v>
      </c>
      <c r="G47" s="452">
        <f>F12_form_validator!H42</f>
        <v>3</v>
      </c>
      <c r="H47" s="452">
        <f>F12_form_validator!J42</f>
        <v>3.5</v>
      </c>
      <c r="I47" s="408">
        <v>0</v>
      </c>
      <c r="J47" s="171"/>
      <c r="L47" s="433">
        <v>1.4814814814814814</v>
      </c>
      <c r="M47" s="432">
        <f t="shared" si="0"/>
        <v>5.9259259259259256</v>
      </c>
      <c r="N47" s="435">
        <v>4</v>
      </c>
    </row>
    <row r="48" spans="1:15" s="30" customFormat="1" ht="15.75" x14ac:dyDescent="0.25">
      <c r="A48" s="189">
        <v>36</v>
      </c>
      <c r="B48" s="190" t="s">
        <v>25</v>
      </c>
      <c r="C48" s="163">
        <v>4</v>
      </c>
      <c r="D48" s="163">
        <v>4</v>
      </c>
      <c r="E48" s="163">
        <v>4</v>
      </c>
      <c r="F48" s="452">
        <f t="shared" si="1"/>
        <v>4</v>
      </c>
      <c r="G48" s="452">
        <f>F12_form_validator!H43</f>
        <v>3</v>
      </c>
      <c r="H48" s="452">
        <f>F12_form_validator!J43</f>
        <v>3.5</v>
      </c>
      <c r="I48" s="408">
        <v>0</v>
      </c>
      <c r="J48" s="171"/>
      <c r="L48" s="433">
        <v>1.4814814814814814</v>
      </c>
      <c r="M48" s="432">
        <f t="shared" si="0"/>
        <v>5.9259259259259256</v>
      </c>
      <c r="N48" s="435">
        <v>4</v>
      </c>
    </row>
    <row r="49" spans="1:14" s="30" customFormat="1" ht="15.75" x14ac:dyDescent="0.25">
      <c r="A49" s="189">
        <v>37</v>
      </c>
      <c r="B49" s="190" t="s">
        <v>81</v>
      </c>
      <c r="C49" s="163">
        <v>4</v>
      </c>
      <c r="D49" s="163">
        <v>4</v>
      </c>
      <c r="E49" s="163">
        <v>4</v>
      </c>
      <c r="F49" s="452">
        <f t="shared" si="1"/>
        <v>4</v>
      </c>
      <c r="G49" s="452">
        <f>F12_form_validator!H44</f>
        <v>3</v>
      </c>
      <c r="H49" s="452">
        <f>F12_form_validator!J44</f>
        <v>3.5</v>
      </c>
      <c r="I49" s="408">
        <v>0</v>
      </c>
      <c r="J49" s="171"/>
      <c r="L49" s="433">
        <v>1.4814814814814814</v>
      </c>
      <c r="M49" s="432">
        <f t="shared" si="0"/>
        <v>5.9259259259259256</v>
      </c>
      <c r="N49" s="435">
        <v>4</v>
      </c>
    </row>
    <row r="50" spans="1:14" s="30" customFormat="1" ht="15.75" x14ac:dyDescent="0.25">
      <c r="A50" s="189">
        <v>38</v>
      </c>
      <c r="B50" s="190" t="s">
        <v>202</v>
      </c>
      <c r="C50" s="163">
        <v>4</v>
      </c>
      <c r="D50" s="163">
        <v>4</v>
      </c>
      <c r="E50" s="163">
        <v>4</v>
      </c>
      <c r="F50" s="452">
        <f t="shared" si="1"/>
        <v>4</v>
      </c>
      <c r="G50" s="452">
        <f>F12_form_validator!H45</f>
        <v>3</v>
      </c>
      <c r="H50" s="452">
        <f>F12_form_validator!J45</f>
        <v>3.5</v>
      </c>
      <c r="I50" s="408">
        <v>0</v>
      </c>
      <c r="J50" s="171"/>
      <c r="L50" s="433">
        <v>1.8518518518518514</v>
      </c>
      <c r="M50" s="432">
        <f t="shared" si="0"/>
        <v>7.4074074074074057</v>
      </c>
      <c r="N50" s="435">
        <v>4</v>
      </c>
    </row>
    <row r="51" spans="1:14" s="30" customFormat="1" ht="15.75" x14ac:dyDescent="0.25">
      <c r="A51" s="189">
        <v>39</v>
      </c>
      <c r="B51" s="190" t="s">
        <v>203</v>
      </c>
      <c r="C51" s="163">
        <v>4</v>
      </c>
      <c r="D51" s="163">
        <v>4</v>
      </c>
      <c r="E51" s="163">
        <v>4</v>
      </c>
      <c r="F51" s="452">
        <f t="shared" si="1"/>
        <v>4</v>
      </c>
      <c r="G51" s="452">
        <f>F12_form_validator!H46</f>
        <v>3</v>
      </c>
      <c r="H51" s="452">
        <f>F12_form_validator!J46</f>
        <v>3.5</v>
      </c>
      <c r="I51" s="408">
        <v>0</v>
      </c>
      <c r="J51" s="171"/>
      <c r="L51" s="433">
        <v>1.8518518518518514</v>
      </c>
      <c r="M51" s="432">
        <f t="shared" si="0"/>
        <v>7.4074074074074057</v>
      </c>
      <c r="N51" s="435">
        <v>4</v>
      </c>
    </row>
    <row r="52" spans="1:14" s="30" customFormat="1" ht="15.75" x14ac:dyDescent="0.25">
      <c r="A52" s="189">
        <v>40</v>
      </c>
      <c r="B52" s="190" t="s">
        <v>27</v>
      </c>
      <c r="C52" s="163">
        <v>4</v>
      </c>
      <c r="D52" s="163">
        <v>4</v>
      </c>
      <c r="E52" s="163">
        <v>4</v>
      </c>
      <c r="F52" s="452">
        <f t="shared" si="1"/>
        <v>4</v>
      </c>
      <c r="G52" s="452">
        <f>F12_form_validator!H47</f>
        <v>3</v>
      </c>
      <c r="H52" s="452">
        <f>F12_form_validator!J47</f>
        <v>3.5</v>
      </c>
      <c r="I52" s="408">
        <v>0</v>
      </c>
      <c r="J52" s="171"/>
      <c r="L52" s="433">
        <v>1.8518518518518514</v>
      </c>
      <c r="M52" s="432">
        <f t="shared" si="0"/>
        <v>7.4074074074074057</v>
      </c>
      <c r="N52" s="435">
        <v>4</v>
      </c>
    </row>
    <row r="53" spans="1:14" s="30" customFormat="1" ht="15.75" x14ac:dyDescent="0.25">
      <c r="A53" s="189">
        <v>41</v>
      </c>
      <c r="B53" s="190" t="s">
        <v>205</v>
      </c>
      <c r="C53" s="163">
        <v>4</v>
      </c>
      <c r="D53" s="163">
        <v>4</v>
      </c>
      <c r="E53" s="163">
        <v>4</v>
      </c>
      <c r="F53" s="452">
        <f t="shared" si="1"/>
        <v>4</v>
      </c>
      <c r="G53" s="452">
        <f>F12_form_validator!H48</f>
        <v>3</v>
      </c>
      <c r="H53" s="452">
        <f>F12_form_validator!J48</f>
        <v>3.5</v>
      </c>
      <c r="I53" s="408">
        <v>0</v>
      </c>
      <c r="J53" s="171"/>
      <c r="L53" s="433">
        <v>1.8518518518518514</v>
      </c>
      <c r="M53" s="432">
        <f t="shared" si="0"/>
        <v>7.4074074074074057</v>
      </c>
      <c r="N53" s="435">
        <v>4</v>
      </c>
    </row>
    <row r="54" spans="1:14" s="30" customFormat="1" ht="15.75" x14ac:dyDescent="0.25">
      <c r="A54" s="189">
        <v>42</v>
      </c>
      <c r="B54" s="190" t="s">
        <v>206</v>
      </c>
      <c r="C54" s="163">
        <v>4</v>
      </c>
      <c r="D54" s="163">
        <v>4</v>
      </c>
      <c r="E54" s="163">
        <v>4</v>
      </c>
      <c r="F54" s="452">
        <f t="shared" si="1"/>
        <v>4</v>
      </c>
      <c r="G54" s="452">
        <f>F12_form_validator!H49</f>
        <v>3</v>
      </c>
      <c r="H54" s="452">
        <f>F12_form_validator!J49</f>
        <v>3.5</v>
      </c>
      <c r="I54" s="408">
        <v>0</v>
      </c>
      <c r="J54" s="171"/>
      <c r="L54" s="433">
        <v>1.8518518518518514</v>
      </c>
      <c r="M54" s="432">
        <f t="shared" si="0"/>
        <v>7.4074074074074057</v>
      </c>
      <c r="N54" s="435">
        <v>4</v>
      </c>
    </row>
    <row r="55" spans="1:14" s="30" customFormat="1" ht="15.75" x14ac:dyDescent="0.25">
      <c r="A55" s="189">
        <v>43</v>
      </c>
      <c r="B55" s="190" t="s">
        <v>29</v>
      </c>
      <c r="C55" s="163">
        <v>4</v>
      </c>
      <c r="D55" s="163">
        <v>4</v>
      </c>
      <c r="E55" s="163">
        <v>4</v>
      </c>
      <c r="F55" s="452">
        <f t="shared" si="1"/>
        <v>4</v>
      </c>
      <c r="G55" s="452">
        <f>F12_form_validator!H50</f>
        <v>3</v>
      </c>
      <c r="H55" s="452">
        <f>F12_form_validator!J50</f>
        <v>3.5</v>
      </c>
      <c r="I55" s="408">
        <v>0</v>
      </c>
      <c r="J55" s="171"/>
      <c r="L55" s="433">
        <v>1.8518518518518514</v>
      </c>
      <c r="M55" s="432">
        <f t="shared" si="0"/>
        <v>7.4074074074074057</v>
      </c>
      <c r="N55" s="435">
        <v>4</v>
      </c>
    </row>
    <row r="56" spans="1:14" s="30" customFormat="1" ht="15.75" x14ac:dyDescent="0.25">
      <c r="A56" s="189">
        <v>44</v>
      </c>
      <c r="B56" s="190" t="s">
        <v>30</v>
      </c>
      <c r="C56" s="163">
        <v>4</v>
      </c>
      <c r="D56" s="163">
        <v>4</v>
      </c>
      <c r="E56" s="163">
        <v>4</v>
      </c>
      <c r="F56" s="452">
        <f t="shared" si="1"/>
        <v>4</v>
      </c>
      <c r="G56" s="452">
        <f>F12_form_validator!H51</f>
        <v>3</v>
      </c>
      <c r="H56" s="452">
        <f>F12_form_validator!J51</f>
        <v>3.5</v>
      </c>
      <c r="I56" s="408">
        <v>0</v>
      </c>
      <c r="J56" s="171"/>
      <c r="L56" s="433">
        <v>2.7777777777777772</v>
      </c>
      <c r="M56" s="432">
        <f t="shared" si="0"/>
        <v>11.111111111111109</v>
      </c>
      <c r="N56" s="435">
        <v>4</v>
      </c>
    </row>
    <row r="57" spans="1:14" s="30" customFormat="1" ht="16.5" thickBot="1" x14ac:dyDescent="0.3">
      <c r="A57" s="191">
        <v>45</v>
      </c>
      <c r="B57" s="192" t="s">
        <v>31</v>
      </c>
      <c r="C57" s="163">
        <v>4</v>
      </c>
      <c r="D57" s="163">
        <v>4</v>
      </c>
      <c r="E57" s="163">
        <v>4</v>
      </c>
      <c r="F57" s="453">
        <f t="shared" si="1"/>
        <v>4</v>
      </c>
      <c r="G57" s="452">
        <f>F12_form_validator!H52</f>
        <v>3</v>
      </c>
      <c r="H57" s="452">
        <f>F12_form_validator!J52</f>
        <v>3.5</v>
      </c>
      <c r="I57" s="558">
        <v>0</v>
      </c>
      <c r="J57" s="172"/>
      <c r="L57" s="437">
        <v>2.7777777777777772</v>
      </c>
      <c r="M57" s="432">
        <f t="shared" si="0"/>
        <v>11.111111111111109</v>
      </c>
      <c r="N57" s="439">
        <v>4</v>
      </c>
    </row>
    <row r="58" spans="1:14" s="30" customFormat="1" ht="15.75" x14ac:dyDescent="0.25">
      <c r="A58" s="139" t="s">
        <v>229</v>
      </c>
      <c r="C58" s="61"/>
      <c r="D58" s="61"/>
      <c r="E58" s="61"/>
      <c r="L58" s="445"/>
      <c r="M58" s="443"/>
      <c r="N58" s="445"/>
    </row>
    <row r="59" spans="1:14" s="30" customFormat="1" ht="15.75" x14ac:dyDescent="0.25">
      <c r="A59" s="446"/>
      <c r="C59" s="61"/>
      <c r="D59" s="61"/>
      <c r="E59" s="61"/>
      <c r="L59" s="454">
        <f>SUM(L13:L57)</f>
        <v>99.999999999999972</v>
      </c>
      <c r="M59" s="444">
        <f t="shared" ref="M59:N59" si="2">SUM(M13:M57)</f>
        <v>399.99999999999989</v>
      </c>
      <c r="N59" s="444">
        <f t="shared" si="2"/>
        <v>180</v>
      </c>
    </row>
    <row r="60" spans="1:14" s="39" customFormat="1" ht="15.75" x14ac:dyDescent="0.25">
      <c r="A60" s="98"/>
      <c r="C60" s="44"/>
      <c r="D60" s="44"/>
      <c r="E60" s="44"/>
      <c r="I60" s="94" t="str">
        <f>'F6'!I90</f>
        <v>...................., ... - ....- 2014</v>
      </c>
      <c r="J60" s="473"/>
      <c r="K60" s="473"/>
      <c r="M60" s="42"/>
    </row>
    <row r="61" spans="1:14" s="39" customFormat="1" ht="15.75" x14ac:dyDescent="0.25">
      <c r="A61" s="98"/>
      <c r="C61" s="44"/>
      <c r="D61" s="44"/>
      <c r="E61" s="44"/>
      <c r="M61" s="42"/>
    </row>
    <row r="62" spans="1:14" s="39" customFormat="1" ht="15" customHeight="1" x14ac:dyDescent="0.25">
      <c r="A62" s="167"/>
      <c r="B62" s="178"/>
      <c r="C62" s="166"/>
      <c r="D62" s="44"/>
      <c r="E62" s="44"/>
      <c r="I62" s="56" t="str">
        <f>'F6'!I92</f>
        <v>Asesor</v>
      </c>
      <c r="J62" s="56" t="str">
        <f>'F6'!J92</f>
        <v>Tanda Tangan</v>
      </c>
      <c r="M62" s="42"/>
    </row>
    <row r="63" spans="1:14" s="39" customFormat="1" x14ac:dyDescent="0.25">
      <c r="A63" s="167"/>
      <c r="B63" s="178"/>
      <c r="C63" s="166"/>
      <c r="D63" s="44"/>
      <c r="E63" s="44"/>
      <c r="I63" s="56"/>
      <c r="J63" s="56"/>
      <c r="M63" s="42"/>
    </row>
    <row r="64" spans="1:14" s="39" customFormat="1" x14ac:dyDescent="0.25">
      <c r="A64" s="167"/>
      <c r="B64" s="178"/>
      <c r="C64" s="166"/>
      <c r="D64" s="44"/>
      <c r="E64" s="44"/>
      <c r="I64" s="56" t="str">
        <f>'F6'!I94</f>
        <v>1. &lt;Nama Asesor 1&gt;</v>
      </c>
      <c r="J64" s="56"/>
      <c r="M64" s="42"/>
    </row>
    <row r="65" spans="1:13" s="39" customFormat="1" x14ac:dyDescent="0.25">
      <c r="A65" s="167"/>
      <c r="B65" s="167"/>
      <c r="C65" s="166"/>
      <c r="D65" s="44"/>
      <c r="E65" s="44"/>
      <c r="I65" s="56"/>
      <c r="J65" s="56"/>
      <c r="M65" s="42"/>
    </row>
    <row r="66" spans="1:13" s="39" customFormat="1" x14ac:dyDescent="0.25">
      <c r="A66" s="167"/>
      <c r="B66" s="167"/>
      <c r="C66" s="166"/>
      <c r="D66" s="44"/>
      <c r="E66" s="44"/>
      <c r="I66" s="56" t="str">
        <f>'F6'!I96</f>
        <v>2. &lt;Nama Asesor 2&gt;</v>
      </c>
      <c r="J66" s="56"/>
      <c r="M66" s="42"/>
    </row>
    <row r="67" spans="1:13" s="39" customFormat="1" x14ac:dyDescent="0.25">
      <c r="C67" s="44"/>
      <c r="D67" s="44"/>
      <c r="E67" s="44"/>
      <c r="I67" s="56"/>
      <c r="J67" s="56"/>
      <c r="M67" s="42"/>
    </row>
    <row r="68" spans="1:13" s="39" customFormat="1" x14ac:dyDescent="0.25">
      <c r="C68" s="44"/>
      <c r="D68" s="44"/>
      <c r="E68" s="44"/>
      <c r="I68" s="56" t="str">
        <f>'F6'!I98</f>
        <v>3. &lt;Nama Asesor 3&gt;</v>
      </c>
      <c r="J68" s="56"/>
      <c r="M68" s="42"/>
    </row>
    <row r="69" spans="1:13" s="39" customFormat="1" x14ac:dyDescent="0.25">
      <c r="C69" s="44"/>
      <c r="D69" s="44"/>
      <c r="E69" s="44"/>
      <c r="I69" s="56"/>
      <c r="J69" s="56"/>
      <c r="M69" s="42"/>
    </row>
    <row r="70" spans="1:13" s="39" customFormat="1" x14ac:dyDescent="0.25">
      <c r="C70" s="44"/>
      <c r="D70" s="44"/>
      <c r="E70" s="44"/>
      <c r="I70" s="56"/>
      <c r="J70" s="56"/>
      <c r="M70" s="42"/>
    </row>
    <row r="71" spans="1:13" s="39" customFormat="1" x14ac:dyDescent="0.25">
      <c r="C71" s="44"/>
      <c r="D71" s="44"/>
      <c r="E71" s="44"/>
      <c r="I71" s="56"/>
      <c r="J71" s="56"/>
      <c r="M71" s="42"/>
    </row>
    <row r="72" spans="1:13" s="39" customFormat="1" x14ac:dyDescent="0.25">
      <c r="C72" s="44"/>
      <c r="D72" s="44"/>
      <c r="E72" s="44"/>
      <c r="I72" s="56"/>
      <c r="J72" s="56"/>
      <c r="M72" s="42"/>
    </row>
    <row r="73" spans="1:13" s="39" customFormat="1" x14ac:dyDescent="0.25">
      <c r="C73" s="44"/>
      <c r="D73" s="44"/>
      <c r="E73" s="44"/>
      <c r="I73" s="56"/>
      <c r="J73" s="56"/>
      <c r="M73" s="42"/>
    </row>
    <row r="74" spans="1:13" s="39" customFormat="1" x14ac:dyDescent="0.25">
      <c r="C74" s="44"/>
      <c r="D74" s="44"/>
      <c r="E74" s="44"/>
      <c r="I74" s="56"/>
      <c r="J74" s="56"/>
      <c r="M74" s="42"/>
    </row>
    <row r="75" spans="1:13" s="39" customFormat="1" x14ac:dyDescent="0.25">
      <c r="C75" s="44"/>
      <c r="D75" s="44"/>
      <c r="E75" s="44"/>
      <c r="M75" s="42"/>
    </row>
    <row r="76" spans="1:13" s="39" customFormat="1" x14ac:dyDescent="0.25">
      <c r="C76" s="44"/>
      <c r="D76" s="44"/>
      <c r="E76" s="44"/>
      <c r="M76" s="42"/>
    </row>
    <row r="77" spans="1:13" s="39" customFormat="1" x14ac:dyDescent="0.25">
      <c r="C77" s="44"/>
      <c r="D77" s="44"/>
      <c r="E77" s="44"/>
      <c r="M77" s="42"/>
    </row>
    <row r="78" spans="1:13" s="39" customFormat="1" x14ac:dyDescent="0.25">
      <c r="C78" s="44"/>
      <c r="D78" s="44"/>
      <c r="E78" s="44"/>
      <c r="M78" s="42"/>
    </row>
    <row r="79" spans="1:13" s="39" customFormat="1" x14ac:dyDescent="0.25">
      <c r="C79" s="44"/>
      <c r="D79" s="44"/>
      <c r="E79" s="44"/>
      <c r="M79" s="42"/>
    </row>
  </sheetData>
  <sheetProtection formatCells="0" formatColumns="0" formatRows="0"/>
  <mergeCells count="11">
    <mergeCell ref="L11:M11"/>
    <mergeCell ref="N11:N12"/>
    <mergeCell ref="A1:J1"/>
    <mergeCell ref="A4:C4"/>
    <mergeCell ref="A5:D5"/>
    <mergeCell ref="A7:C7"/>
    <mergeCell ref="A11:A12"/>
    <mergeCell ref="B11:B12"/>
    <mergeCell ref="C11:F11"/>
    <mergeCell ref="I11:I12"/>
    <mergeCell ref="J11:J12"/>
  </mergeCells>
  <pageMargins left="0.70866141732283472" right="0.70866141732283472"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6"/>
  <sheetViews>
    <sheetView topLeftCell="A109" workbookViewId="0">
      <selection activeCell="H4" sqref="H4:L4"/>
    </sheetView>
  </sheetViews>
  <sheetFormatPr defaultRowHeight="15" x14ac:dyDescent="0.25"/>
  <cols>
    <col min="1" max="8" width="9.140625" style="15"/>
    <col min="9" max="9" width="14.28515625" style="15" customWidth="1"/>
    <col min="10" max="16384" width="9.140625" style="15"/>
  </cols>
  <sheetData>
    <row r="1" spans="1:16" ht="36.75" customHeight="1" x14ac:dyDescent="0.25">
      <c r="A1" s="783" t="s">
        <v>980</v>
      </c>
      <c r="B1" s="783"/>
      <c r="C1" s="783"/>
      <c r="D1" s="783"/>
      <c r="E1" s="783"/>
      <c r="F1" s="783"/>
      <c r="G1" s="783"/>
      <c r="H1" s="783"/>
      <c r="I1" s="783"/>
      <c r="J1" s="26"/>
      <c r="K1" s="26"/>
      <c r="L1" s="26"/>
    </row>
    <row r="2" spans="1:16" x14ac:dyDescent="0.25">
      <c r="A2" s="368"/>
    </row>
    <row r="3" spans="1:16" ht="15.75" x14ac:dyDescent="0.25">
      <c r="A3" s="784" t="s">
        <v>35</v>
      </c>
      <c r="B3" s="784"/>
      <c r="C3" s="784"/>
      <c r="D3" s="28" t="s">
        <v>232</v>
      </c>
    </row>
    <row r="4" spans="1:16" ht="15.75" customHeight="1" x14ac:dyDescent="0.25">
      <c r="A4" s="28" t="s">
        <v>36</v>
      </c>
      <c r="B4" s="28"/>
      <c r="C4" s="28"/>
      <c r="D4" s="28" t="s">
        <v>233</v>
      </c>
    </row>
    <row r="5" spans="1:16" ht="15.75" customHeight="1" x14ac:dyDescent="0.25">
      <c r="A5" s="28" t="s">
        <v>37</v>
      </c>
      <c r="B5" s="28"/>
      <c r="C5" s="28"/>
      <c r="D5" s="28" t="s">
        <v>234</v>
      </c>
    </row>
    <row r="6" spans="1:16" ht="17.25" customHeight="1" x14ac:dyDescent="0.25">
      <c r="A6" s="784" t="s">
        <v>307</v>
      </c>
      <c r="B6" s="784"/>
      <c r="C6" s="784"/>
      <c r="D6" s="28" t="s">
        <v>308</v>
      </c>
    </row>
    <row r="7" spans="1:16" ht="15.75" x14ac:dyDescent="0.25">
      <c r="A7" s="784"/>
      <c r="B7" s="784"/>
      <c r="C7" s="784"/>
      <c r="D7" s="4"/>
    </row>
    <row r="8" spans="1:16" ht="36" customHeight="1" x14ac:dyDescent="0.25">
      <c r="A8" s="785" t="s">
        <v>983</v>
      </c>
      <c r="B8" s="785"/>
      <c r="C8" s="785"/>
      <c r="D8" s="785"/>
      <c r="E8" s="785"/>
      <c r="F8" s="785"/>
      <c r="G8" s="785"/>
      <c r="H8" s="785"/>
      <c r="I8" s="785"/>
      <c r="J8" s="481"/>
      <c r="K8" s="481"/>
      <c r="L8" s="481"/>
      <c r="M8" s="481"/>
      <c r="N8" s="481"/>
      <c r="O8" s="481"/>
      <c r="P8" s="481"/>
    </row>
    <row r="10" spans="1:16" ht="15.75" thickBot="1" x14ac:dyDescent="0.3">
      <c r="A10" s="89" t="s">
        <v>115</v>
      </c>
      <c r="B10" s="481"/>
      <c r="C10" s="481"/>
      <c r="D10" s="481"/>
      <c r="E10" s="481"/>
      <c r="F10" s="481"/>
      <c r="G10" s="481"/>
      <c r="H10" s="481"/>
      <c r="I10" s="481"/>
      <c r="J10" s="481"/>
      <c r="K10" s="481"/>
    </row>
    <row r="11" spans="1:16" x14ac:dyDescent="0.25">
      <c r="A11" s="772"/>
      <c r="B11" s="773"/>
      <c r="C11" s="773"/>
      <c r="D11" s="773"/>
      <c r="E11" s="773"/>
      <c r="F11" s="773"/>
      <c r="G11" s="773"/>
      <c r="H11" s="773"/>
      <c r="I11" s="774"/>
    </row>
    <row r="12" spans="1:16" x14ac:dyDescent="0.25">
      <c r="A12" s="775"/>
      <c r="B12" s="776"/>
      <c r="C12" s="776"/>
      <c r="D12" s="776"/>
      <c r="E12" s="776"/>
      <c r="F12" s="776"/>
      <c r="G12" s="776"/>
      <c r="H12" s="777"/>
      <c r="I12" s="778"/>
      <c r="J12" s="559"/>
      <c r="K12" s="559"/>
      <c r="L12" s="559"/>
      <c r="M12" s="559"/>
      <c r="N12" s="559"/>
      <c r="O12" s="559"/>
    </row>
    <row r="13" spans="1:16" x14ac:dyDescent="0.25">
      <c r="A13" s="775"/>
      <c r="B13" s="776"/>
      <c r="C13" s="776"/>
      <c r="D13" s="776"/>
      <c r="E13" s="776"/>
      <c r="F13" s="776"/>
      <c r="G13" s="776"/>
      <c r="H13" s="777"/>
      <c r="I13" s="778"/>
      <c r="J13" s="559"/>
      <c r="K13" s="559"/>
      <c r="L13" s="559"/>
      <c r="M13" s="559"/>
      <c r="N13" s="559"/>
      <c r="O13" s="559"/>
    </row>
    <row r="14" spans="1:16" x14ac:dyDescent="0.25">
      <c r="A14" s="775"/>
      <c r="B14" s="776"/>
      <c r="C14" s="776"/>
      <c r="D14" s="776"/>
      <c r="E14" s="776"/>
      <c r="F14" s="776"/>
      <c r="G14" s="776"/>
      <c r="H14" s="777"/>
      <c r="I14" s="778"/>
      <c r="J14" s="559"/>
      <c r="K14" s="559"/>
      <c r="L14" s="559"/>
      <c r="M14" s="559"/>
      <c r="N14" s="559"/>
      <c r="O14" s="559"/>
    </row>
    <row r="15" spans="1:16" x14ac:dyDescent="0.25">
      <c r="A15" s="775"/>
      <c r="B15" s="776"/>
      <c r="C15" s="776"/>
      <c r="D15" s="776"/>
      <c r="E15" s="776"/>
      <c r="F15" s="776"/>
      <c r="G15" s="776"/>
      <c r="H15" s="777"/>
      <c r="I15" s="778"/>
      <c r="J15" s="559"/>
      <c r="K15" s="559"/>
      <c r="L15" s="559"/>
      <c r="M15" s="559"/>
      <c r="N15" s="559"/>
      <c r="O15" s="559"/>
    </row>
    <row r="16" spans="1:16" x14ac:dyDescent="0.25">
      <c r="A16" s="775"/>
      <c r="B16" s="776"/>
      <c r="C16" s="776"/>
      <c r="D16" s="776"/>
      <c r="E16" s="776"/>
      <c r="F16" s="776"/>
      <c r="G16" s="776"/>
      <c r="H16" s="777"/>
      <c r="I16" s="778"/>
      <c r="J16" s="559"/>
      <c r="K16" s="559"/>
      <c r="L16" s="559"/>
      <c r="M16" s="559"/>
      <c r="N16" s="559"/>
      <c r="O16" s="559"/>
    </row>
    <row r="17" spans="1:15" x14ac:dyDescent="0.25">
      <c r="A17" s="775"/>
      <c r="B17" s="776"/>
      <c r="C17" s="776"/>
      <c r="D17" s="776"/>
      <c r="E17" s="776"/>
      <c r="F17" s="776"/>
      <c r="G17" s="776"/>
      <c r="H17" s="777"/>
      <c r="I17" s="778"/>
      <c r="J17" s="559"/>
      <c r="K17" s="559"/>
      <c r="L17" s="559"/>
      <c r="M17" s="559"/>
      <c r="N17" s="559"/>
      <c r="O17" s="559"/>
    </row>
    <row r="18" spans="1:15" x14ac:dyDescent="0.25">
      <c r="A18" s="775"/>
      <c r="B18" s="776"/>
      <c r="C18" s="776"/>
      <c r="D18" s="776"/>
      <c r="E18" s="776"/>
      <c r="F18" s="776"/>
      <c r="G18" s="776"/>
      <c r="H18" s="777"/>
      <c r="I18" s="778"/>
      <c r="J18" s="559"/>
      <c r="K18" s="559"/>
      <c r="L18" s="559"/>
      <c r="M18" s="559"/>
      <c r="N18" s="559"/>
      <c r="O18" s="559"/>
    </row>
    <row r="19" spans="1:15" x14ac:dyDescent="0.25">
      <c r="A19" s="775"/>
      <c r="B19" s="776"/>
      <c r="C19" s="776"/>
      <c r="D19" s="776"/>
      <c r="E19" s="776"/>
      <c r="F19" s="776"/>
      <c r="G19" s="776"/>
      <c r="H19" s="776"/>
      <c r="I19" s="779"/>
    </row>
    <row r="20" spans="1:15" x14ac:dyDescent="0.25">
      <c r="A20" s="775"/>
      <c r="B20" s="776"/>
      <c r="C20" s="776"/>
      <c r="D20" s="776"/>
      <c r="E20" s="776"/>
      <c r="F20" s="776"/>
      <c r="G20" s="776"/>
      <c r="H20" s="776"/>
      <c r="I20" s="779"/>
    </row>
    <row r="21" spans="1:15" ht="15.75" thickBot="1" x14ac:dyDescent="0.3">
      <c r="A21" s="780"/>
      <c r="B21" s="781"/>
      <c r="C21" s="781"/>
      <c r="D21" s="781"/>
      <c r="E21" s="781"/>
      <c r="F21" s="781"/>
      <c r="G21" s="781"/>
      <c r="H21" s="781"/>
      <c r="I21" s="782"/>
    </row>
    <row r="22" spans="1:15" x14ac:dyDescent="0.25">
      <c r="A22" s="22"/>
      <c r="H22" s="560"/>
      <c r="I22" s="560"/>
      <c r="J22" s="560"/>
      <c r="K22" s="560"/>
      <c r="L22" s="560"/>
      <c r="M22" s="560"/>
      <c r="N22" s="560"/>
      <c r="O22" s="560"/>
    </row>
    <row r="23" spans="1:15" x14ac:dyDescent="0.25">
      <c r="A23" s="90" t="s">
        <v>116</v>
      </c>
      <c r="B23" s="481"/>
      <c r="C23" s="481"/>
      <c r="D23" s="481"/>
      <c r="E23" s="481"/>
      <c r="F23" s="481"/>
      <c r="G23" s="481"/>
      <c r="H23" s="561"/>
      <c r="I23" s="561"/>
      <c r="J23" s="561"/>
      <c r="K23" s="561"/>
      <c r="L23" s="560"/>
      <c r="M23" s="560"/>
      <c r="N23" s="560"/>
      <c r="O23" s="560"/>
    </row>
    <row r="24" spans="1:15" ht="15.75" thickBot="1" x14ac:dyDescent="0.3">
      <c r="A24" s="23" t="s">
        <v>101</v>
      </c>
      <c r="H24" s="560"/>
      <c r="I24" s="560"/>
      <c r="J24" s="560"/>
      <c r="K24" s="560"/>
      <c r="L24" s="560"/>
      <c r="M24" s="560"/>
      <c r="N24" s="560"/>
      <c r="O24" s="560"/>
    </row>
    <row r="25" spans="1:15" x14ac:dyDescent="0.25">
      <c r="A25" s="772"/>
      <c r="B25" s="773"/>
      <c r="C25" s="773"/>
      <c r="D25" s="773"/>
      <c r="E25" s="773"/>
      <c r="F25" s="773"/>
      <c r="G25" s="773"/>
      <c r="H25" s="786"/>
      <c r="I25" s="787"/>
      <c r="J25" s="560"/>
      <c r="K25" s="560"/>
      <c r="L25" s="560"/>
      <c r="M25" s="560"/>
      <c r="N25" s="560"/>
      <c r="O25" s="560"/>
    </row>
    <row r="26" spans="1:15" x14ac:dyDescent="0.25">
      <c r="A26" s="775"/>
      <c r="B26" s="776"/>
      <c r="C26" s="776"/>
      <c r="D26" s="776"/>
      <c r="E26" s="776"/>
      <c r="F26" s="776"/>
      <c r="G26" s="776"/>
      <c r="H26" s="788"/>
      <c r="I26" s="789"/>
      <c r="J26" s="560"/>
      <c r="K26" s="560"/>
      <c r="L26" s="560"/>
      <c r="M26" s="560"/>
      <c r="N26" s="560"/>
      <c r="O26" s="560"/>
    </row>
    <row r="27" spans="1:15" x14ac:dyDescent="0.25">
      <c r="A27" s="775"/>
      <c r="B27" s="776"/>
      <c r="C27" s="776"/>
      <c r="D27" s="776"/>
      <c r="E27" s="776"/>
      <c r="F27" s="776"/>
      <c r="G27" s="776"/>
      <c r="H27" s="788"/>
      <c r="I27" s="789"/>
      <c r="J27" s="560"/>
      <c r="K27" s="560"/>
      <c r="L27" s="560"/>
      <c r="M27" s="560"/>
      <c r="N27" s="560"/>
      <c r="O27" s="560"/>
    </row>
    <row r="28" spans="1:15" x14ac:dyDescent="0.25">
      <c r="A28" s="775"/>
      <c r="B28" s="776"/>
      <c r="C28" s="776"/>
      <c r="D28" s="776"/>
      <c r="E28" s="776"/>
      <c r="F28" s="776"/>
      <c r="G28" s="776"/>
      <c r="H28" s="788"/>
      <c r="I28" s="789"/>
      <c r="J28" s="560"/>
      <c r="K28" s="560"/>
      <c r="L28" s="560"/>
      <c r="M28" s="560"/>
      <c r="N28" s="560"/>
      <c r="O28" s="560"/>
    </row>
    <row r="29" spans="1:15" x14ac:dyDescent="0.25">
      <c r="A29" s="775"/>
      <c r="B29" s="776"/>
      <c r="C29" s="776"/>
      <c r="D29" s="776"/>
      <c r="E29" s="776"/>
      <c r="F29" s="776"/>
      <c r="G29" s="776"/>
      <c r="H29" s="776"/>
      <c r="I29" s="779"/>
    </row>
    <row r="30" spans="1:15" x14ac:dyDescent="0.25">
      <c r="A30" s="775"/>
      <c r="B30" s="776"/>
      <c r="C30" s="776"/>
      <c r="D30" s="776"/>
      <c r="E30" s="776"/>
      <c r="F30" s="776"/>
      <c r="G30" s="776"/>
      <c r="H30" s="776"/>
      <c r="I30" s="779"/>
    </row>
    <row r="31" spans="1:15" x14ac:dyDescent="0.25">
      <c r="A31" s="775"/>
      <c r="B31" s="776"/>
      <c r="C31" s="776"/>
      <c r="D31" s="776"/>
      <c r="E31" s="776"/>
      <c r="F31" s="776"/>
      <c r="G31" s="776"/>
      <c r="H31" s="776"/>
      <c r="I31" s="779"/>
    </row>
    <row r="32" spans="1:15" x14ac:dyDescent="0.25">
      <c r="A32" s="775"/>
      <c r="B32" s="776"/>
      <c r="C32" s="776"/>
      <c r="D32" s="776"/>
      <c r="E32" s="776"/>
      <c r="F32" s="776"/>
      <c r="G32" s="776"/>
      <c r="H32" s="790"/>
      <c r="I32" s="791"/>
      <c r="J32" s="562"/>
      <c r="K32" s="562"/>
      <c r="L32" s="562"/>
      <c r="M32" s="562"/>
      <c r="N32" s="562"/>
      <c r="O32" s="562"/>
    </row>
    <row r="33" spans="1:15" x14ac:dyDescent="0.25">
      <c r="A33" s="775"/>
      <c r="B33" s="776"/>
      <c r="C33" s="776"/>
      <c r="D33" s="776"/>
      <c r="E33" s="776"/>
      <c r="F33" s="776"/>
      <c r="G33" s="776"/>
      <c r="H33" s="790"/>
      <c r="I33" s="791"/>
      <c r="J33" s="562"/>
      <c r="K33" s="562"/>
      <c r="L33" s="562"/>
      <c r="M33" s="562"/>
      <c r="N33" s="562"/>
      <c r="O33" s="562"/>
    </row>
    <row r="34" spans="1:15" x14ac:dyDescent="0.25">
      <c r="A34" s="775"/>
      <c r="B34" s="776"/>
      <c r="C34" s="776"/>
      <c r="D34" s="776"/>
      <c r="E34" s="776"/>
      <c r="F34" s="776"/>
      <c r="G34" s="776"/>
      <c r="H34" s="790"/>
      <c r="I34" s="791"/>
      <c r="J34" s="562"/>
      <c r="K34" s="562"/>
      <c r="L34" s="562"/>
      <c r="M34" s="562"/>
      <c r="N34" s="562"/>
      <c r="O34" s="562"/>
    </row>
    <row r="35" spans="1:15" ht="15.75" thickBot="1" x14ac:dyDescent="0.3">
      <c r="A35" s="780"/>
      <c r="B35" s="781"/>
      <c r="C35" s="781"/>
      <c r="D35" s="781"/>
      <c r="E35" s="781"/>
      <c r="F35" s="781"/>
      <c r="G35" s="781"/>
      <c r="H35" s="792"/>
      <c r="I35" s="793"/>
      <c r="J35" s="562"/>
      <c r="K35" s="562"/>
      <c r="L35" s="562"/>
      <c r="M35" s="562"/>
      <c r="N35" s="562"/>
      <c r="O35" s="562"/>
    </row>
    <row r="36" spans="1:15" x14ac:dyDescent="0.25">
      <c r="A36" s="22"/>
      <c r="H36" s="562"/>
      <c r="I36" s="562"/>
      <c r="J36" s="562"/>
      <c r="K36" s="562"/>
      <c r="L36" s="562"/>
      <c r="M36" s="562"/>
      <c r="N36" s="562"/>
      <c r="O36" s="562"/>
    </row>
    <row r="37" spans="1:15" ht="15.75" thickBot="1" x14ac:dyDescent="0.3">
      <c r="A37" s="29" t="s">
        <v>1012</v>
      </c>
      <c r="H37" s="562"/>
      <c r="I37" s="562"/>
      <c r="J37" s="562"/>
      <c r="K37" s="562"/>
      <c r="L37" s="562"/>
      <c r="M37" s="562"/>
      <c r="N37" s="562"/>
      <c r="O37" s="562"/>
    </row>
    <row r="38" spans="1:15" x14ac:dyDescent="0.25">
      <c r="A38" s="794"/>
      <c r="B38" s="795"/>
      <c r="C38" s="795"/>
      <c r="D38" s="795"/>
      <c r="E38" s="795"/>
      <c r="F38" s="795"/>
      <c r="G38" s="795"/>
      <c r="H38" s="796"/>
      <c r="I38" s="797"/>
      <c r="J38" s="562"/>
      <c r="K38" s="562"/>
      <c r="L38" s="562"/>
      <c r="M38" s="562"/>
      <c r="N38" s="562"/>
      <c r="O38" s="562"/>
    </row>
    <row r="39" spans="1:15" x14ac:dyDescent="0.25">
      <c r="A39" s="798"/>
      <c r="B39" s="799"/>
      <c r="C39" s="799"/>
      <c r="D39" s="799"/>
      <c r="E39" s="799"/>
      <c r="F39" s="799"/>
      <c r="G39" s="799"/>
      <c r="H39" s="799"/>
      <c r="I39" s="800"/>
    </row>
    <row r="40" spans="1:15" x14ac:dyDescent="0.25">
      <c r="A40" s="798"/>
      <c r="B40" s="799"/>
      <c r="C40" s="799"/>
      <c r="D40" s="799"/>
      <c r="E40" s="799"/>
      <c r="F40" s="799"/>
      <c r="G40" s="799"/>
      <c r="H40" s="799"/>
      <c r="I40" s="800"/>
    </row>
    <row r="41" spans="1:15" x14ac:dyDescent="0.25">
      <c r="A41" s="798"/>
      <c r="B41" s="799"/>
      <c r="C41" s="799"/>
      <c r="D41" s="799"/>
      <c r="E41" s="799"/>
      <c r="F41" s="799"/>
      <c r="G41" s="799"/>
      <c r="H41" s="799"/>
      <c r="I41" s="800"/>
    </row>
    <row r="42" spans="1:15" x14ac:dyDescent="0.25">
      <c r="A42" s="798"/>
      <c r="B42" s="799"/>
      <c r="C42" s="799"/>
      <c r="D42" s="799"/>
      <c r="E42" s="799"/>
      <c r="F42" s="799"/>
      <c r="G42" s="799"/>
      <c r="H42" s="799"/>
      <c r="I42" s="800"/>
    </row>
    <row r="43" spans="1:15" x14ac:dyDescent="0.25">
      <c r="A43" s="798"/>
      <c r="B43" s="799"/>
      <c r="C43" s="799"/>
      <c r="D43" s="799"/>
      <c r="E43" s="799"/>
      <c r="F43" s="799"/>
      <c r="G43" s="799"/>
      <c r="H43" s="799"/>
      <c r="I43" s="800"/>
    </row>
    <row r="44" spans="1:15" x14ac:dyDescent="0.25">
      <c r="A44" s="798"/>
      <c r="B44" s="799"/>
      <c r="C44" s="799"/>
      <c r="D44" s="799"/>
      <c r="E44" s="799"/>
      <c r="F44" s="799"/>
      <c r="G44" s="799"/>
      <c r="H44" s="799"/>
      <c r="I44" s="800"/>
    </row>
    <row r="45" spans="1:15" x14ac:dyDescent="0.25">
      <c r="A45" s="798"/>
      <c r="B45" s="799"/>
      <c r="C45" s="799"/>
      <c r="D45" s="799"/>
      <c r="E45" s="799"/>
      <c r="F45" s="799"/>
      <c r="G45" s="799"/>
      <c r="H45" s="799"/>
      <c r="I45" s="800"/>
    </row>
    <row r="46" spans="1:15" ht="15.75" thickBot="1" x14ac:dyDescent="0.3">
      <c r="A46" s="801"/>
      <c r="B46" s="802"/>
      <c r="C46" s="802"/>
      <c r="D46" s="802"/>
      <c r="E46" s="802"/>
      <c r="F46" s="802"/>
      <c r="G46" s="802"/>
      <c r="H46" s="802"/>
      <c r="I46" s="803"/>
    </row>
    <row r="47" spans="1:15" x14ac:dyDescent="0.25">
      <c r="A47" s="22"/>
    </row>
    <row r="48" spans="1:15" ht="15.75" thickBot="1" x14ac:dyDescent="0.3">
      <c r="A48" s="804" t="s">
        <v>99</v>
      </c>
      <c r="B48" s="805"/>
      <c r="C48" s="805"/>
      <c r="D48" s="805"/>
      <c r="E48" s="805"/>
      <c r="F48" s="805"/>
      <c r="G48" s="805"/>
      <c r="H48" s="805"/>
      <c r="I48" s="805"/>
    </row>
    <row r="49" spans="1:9" x14ac:dyDescent="0.25">
      <c r="A49" s="772"/>
      <c r="B49" s="773"/>
      <c r="C49" s="773"/>
      <c r="D49" s="773"/>
      <c r="E49" s="773"/>
      <c r="F49" s="773"/>
      <c r="G49" s="773"/>
      <c r="H49" s="773"/>
      <c r="I49" s="774"/>
    </row>
    <row r="50" spans="1:9" x14ac:dyDescent="0.25">
      <c r="A50" s="775"/>
      <c r="B50" s="776"/>
      <c r="C50" s="776"/>
      <c r="D50" s="776"/>
      <c r="E50" s="776"/>
      <c r="F50" s="776"/>
      <c r="G50" s="776"/>
      <c r="H50" s="776"/>
      <c r="I50" s="779"/>
    </row>
    <row r="51" spans="1:9" x14ac:dyDescent="0.25">
      <c r="A51" s="775"/>
      <c r="B51" s="776"/>
      <c r="C51" s="776"/>
      <c r="D51" s="776"/>
      <c r="E51" s="776"/>
      <c r="F51" s="776"/>
      <c r="G51" s="776"/>
      <c r="H51" s="776"/>
      <c r="I51" s="779"/>
    </row>
    <row r="52" spans="1:9" x14ac:dyDescent="0.25">
      <c r="A52" s="775"/>
      <c r="B52" s="776"/>
      <c r="C52" s="776"/>
      <c r="D52" s="776"/>
      <c r="E52" s="776"/>
      <c r="F52" s="776"/>
      <c r="G52" s="776"/>
      <c r="H52" s="776"/>
      <c r="I52" s="779"/>
    </row>
    <row r="53" spans="1:9" x14ac:dyDescent="0.25">
      <c r="A53" s="775"/>
      <c r="B53" s="776"/>
      <c r="C53" s="776"/>
      <c r="D53" s="776"/>
      <c r="E53" s="776"/>
      <c r="F53" s="776"/>
      <c r="G53" s="776"/>
      <c r="H53" s="776"/>
      <c r="I53" s="779"/>
    </row>
    <row r="54" spans="1:9" x14ac:dyDescent="0.25">
      <c r="A54" s="775"/>
      <c r="B54" s="776"/>
      <c r="C54" s="776"/>
      <c r="D54" s="776"/>
      <c r="E54" s="776"/>
      <c r="F54" s="776"/>
      <c r="G54" s="776"/>
      <c r="H54" s="776"/>
      <c r="I54" s="779"/>
    </row>
    <row r="55" spans="1:9" x14ac:dyDescent="0.25">
      <c r="A55" s="775"/>
      <c r="B55" s="776"/>
      <c r="C55" s="776"/>
      <c r="D55" s="776"/>
      <c r="E55" s="776"/>
      <c r="F55" s="776"/>
      <c r="G55" s="776"/>
      <c r="H55" s="776"/>
      <c r="I55" s="779"/>
    </row>
    <row r="56" spans="1:9" x14ac:dyDescent="0.25">
      <c r="A56" s="775"/>
      <c r="B56" s="776"/>
      <c r="C56" s="776"/>
      <c r="D56" s="776"/>
      <c r="E56" s="776"/>
      <c r="F56" s="776"/>
      <c r="G56" s="776"/>
      <c r="H56" s="776"/>
      <c r="I56" s="779"/>
    </row>
    <row r="57" spans="1:9" x14ac:dyDescent="0.25">
      <c r="A57" s="775"/>
      <c r="B57" s="776"/>
      <c r="C57" s="776"/>
      <c r="D57" s="776"/>
      <c r="E57" s="776"/>
      <c r="F57" s="776"/>
      <c r="G57" s="776"/>
      <c r="H57" s="776"/>
      <c r="I57" s="779"/>
    </row>
    <row r="58" spans="1:9" x14ac:dyDescent="0.25">
      <c r="A58" s="775"/>
      <c r="B58" s="776"/>
      <c r="C58" s="776"/>
      <c r="D58" s="776"/>
      <c r="E58" s="776"/>
      <c r="F58" s="776"/>
      <c r="G58" s="776"/>
      <c r="H58" s="776"/>
      <c r="I58" s="779"/>
    </row>
    <row r="59" spans="1:9" x14ac:dyDescent="0.25">
      <c r="A59" s="775"/>
      <c r="B59" s="776"/>
      <c r="C59" s="776"/>
      <c r="D59" s="776"/>
      <c r="E59" s="776"/>
      <c r="F59" s="776"/>
      <c r="G59" s="776"/>
      <c r="H59" s="776"/>
      <c r="I59" s="779"/>
    </row>
    <row r="60" spans="1:9" ht="15.75" thickBot="1" x14ac:dyDescent="0.3">
      <c r="A60" s="780"/>
      <c r="B60" s="781"/>
      <c r="C60" s="781"/>
      <c r="D60" s="781"/>
      <c r="E60" s="781"/>
      <c r="F60" s="781"/>
      <c r="G60" s="781"/>
      <c r="H60" s="781"/>
      <c r="I60" s="782"/>
    </row>
    <row r="61" spans="1:9" x14ac:dyDescent="0.25">
      <c r="A61" s="22"/>
    </row>
    <row r="62" spans="1:9" ht="15.75" thickBot="1" x14ac:dyDescent="0.3">
      <c r="A62" s="480" t="s">
        <v>100</v>
      </c>
    </row>
    <row r="63" spans="1:9" x14ac:dyDescent="0.25">
      <c r="A63" s="772"/>
      <c r="B63" s="773"/>
      <c r="C63" s="773"/>
      <c r="D63" s="773"/>
      <c r="E63" s="773"/>
      <c r="F63" s="773"/>
      <c r="G63" s="773"/>
      <c r="H63" s="773"/>
      <c r="I63" s="774"/>
    </row>
    <row r="64" spans="1:9" x14ac:dyDescent="0.25">
      <c r="A64" s="775"/>
      <c r="B64" s="776"/>
      <c r="C64" s="776"/>
      <c r="D64" s="776"/>
      <c r="E64" s="776"/>
      <c r="F64" s="776"/>
      <c r="G64" s="776"/>
      <c r="H64" s="776"/>
      <c r="I64" s="779"/>
    </row>
    <row r="65" spans="1:10" x14ac:dyDescent="0.25">
      <c r="A65" s="775"/>
      <c r="B65" s="776"/>
      <c r="C65" s="776"/>
      <c r="D65" s="776"/>
      <c r="E65" s="776"/>
      <c r="F65" s="776"/>
      <c r="G65" s="776"/>
      <c r="H65" s="776"/>
      <c r="I65" s="779"/>
    </row>
    <row r="66" spans="1:10" x14ac:dyDescent="0.25">
      <c r="A66" s="775"/>
      <c r="B66" s="776"/>
      <c r="C66" s="776"/>
      <c r="D66" s="776"/>
      <c r="E66" s="776"/>
      <c r="F66" s="776"/>
      <c r="G66" s="776"/>
      <c r="H66" s="776"/>
      <c r="I66" s="779"/>
    </row>
    <row r="67" spans="1:10" x14ac:dyDescent="0.25">
      <c r="A67" s="775"/>
      <c r="B67" s="776"/>
      <c r="C67" s="776"/>
      <c r="D67" s="776"/>
      <c r="E67" s="776"/>
      <c r="F67" s="776"/>
      <c r="G67" s="776"/>
      <c r="H67" s="776"/>
      <c r="I67" s="779"/>
    </row>
    <row r="68" spans="1:10" x14ac:dyDescent="0.25">
      <c r="A68" s="775"/>
      <c r="B68" s="776"/>
      <c r="C68" s="776"/>
      <c r="D68" s="776"/>
      <c r="E68" s="776"/>
      <c r="F68" s="776"/>
      <c r="G68" s="776"/>
      <c r="H68" s="776"/>
      <c r="I68" s="779"/>
    </row>
    <row r="69" spans="1:10" x14ac:dyDescent="0.25">
      <c r="A69" s="775"/>
      <c r="B69" s="776"/>
      <c r="C69" s="776"/>
      <c r="D69" s="776"/>
      <c r="E69" s="776"/>
      <c r="F69" s="776"/>
      <c r="G69" s="776"/>
      <c r="H69" s="776"/>
      <c r="I69" s="779"/>
    </row>
    <row r="70" spans="1:10" x14ac:dyDescent="0.25">
      <c r="A70" s="775"/>
      <c r="B70" s="776"/>
      <c r="C70" s="776"/>
      <c r="D70" s="776"/>
      <c r="E70" s="776"/>
      <c r="F70" s="776"/>
      <c r="G70" s="776"/>
      <c r="H70" s="776"/>
      <c r="I70" s="779"/>
    </row>
    <row r="71" spans="1:10" x14ac:dyDescent="0.25">
      <c r="A71" s="775"/>
      <c r="B71" s="776"/>
      <c r="C71" s="776"/>
      <c r="D71" s="776"/>
      <c r="E71" s="776"/>
      <c r="F71" s="776"/>
      <c r="G71" s="776"/>
      <c r="H71" s="776"/>
      <c r="I71" s="779"/>
    </row>
    <row r="72" spans="1:10" x14ac:dyDescent="0.25">
      <c r="A72" s="775"/>
      <c r="B72" s="776"/>
      <c r="C72" s="776"/>
      <c r="D72" s="776"/>
      <c r="E72" s="776"/>
      <c r="F72" s="776"/>
      <c r="G72" s="776"/>
      <c r="H72" s="776"/>
      <c r="I72" s="779"/>
    </row>
    <row r="73" spans="1:10" x14ac:dyDescent="0.25">
      <c r="A73" s="775"/>
      <c r="B73" s="776"/>
      <c r="C73" s="776"/>
      <c r="D73" s="776"/>
      <c r="E73" s="776"/>
      <c r="F73" s="776"/>
      <c r="G73" s="776"/>
      <c r="H73" s="776"/>
      <c r="I73" s="779"/>
    </row>
    <row r="74" spans="1:10" ht="15.75" thickBot="1" x14ac:dyDescent="0.3">
      <c r="A74" s="780"/>
      <c r="B74" s="781"/>
      <c r="C74" s="781"/>
      <c r="D74" s="781"/>
      <c r="E74" s="781"/>
      <c r="F74" s="781"/>
      <c r="G74" s="781"/>
      <c r="H74" s="781"/>
      <c r="I74" s="782"/>
    </row>
    <row r="75" spans="1:10" x14ac:dyDescent="0.25">
      <c r="A75" s="22"/>
    </row>
    <row r="76" spans="1:10" ht="15.75" x14ac:dyDescent="0.25">
      <c r="A76" s="24"/>
    </row>
    <row r="77" spans="1:10" ht="15.75" thickBot="1" x14ac:dyDescent="0.3">
      <c r="A77" s="90" t="s">
        <v>117</v>
      </c>
      <c r="B77" s="481"/>
      <c r="C77" s="481"/>
      <c r="D77" s="481"/>
      <c r="E77" s="481"/>
      <c r="F77" s="481"/>
      <c r="G77" s="481"/>
      <c r="H77" s="481"/>
      <c r="I77" s="481"/>
      <c r="J77" s="481"/>
    </row>
    <row r="78" spans="1:10" x14ac:dyDescent="0.25">
      <c r="A78" s="772"/>
      <c r="B78" s="773"/>
      <c r="C78" s="773"/>
      <c r="D78" s="773"/>
      <c r="E78" s="773"/>
      <c r="F78" s="773"/>
      <c r="G78" s="773"/>
      <c r="H78" s="773"/>
      <c r="I78" s="774"/>
    </row>
    <row r="79" spans="1:10" x14ac:dyDescent="0.25">
      <c r="A79" s="775"/>
      <c r="B79" s="776"/>
      <c r="C79" s="776"/>
      <c r="D79" s="776"/>
      <c r="E79" s="776"/>
      <c r="F79" s="776"/>
      <c r="G79" s="776"/>
      <c r="H79" s="776"/>
      <c r="I79" s="779"/>
    </row>
    <row r="80" spans="1:10" x14ac:dyDescent="0.25">
      <c r="A80" s="775"/>
      <c r="B80" s="776"/>
      <c r="C80" s="776"/>
      <c r="D80" s="776"/>
      <c r="E80" s="776"/>
      <c r="F80" s="776"/>
      <c r="G80" s="776"/>
      <c r="H80" s="776"/>
      <c r="I80" s="779"/>
    </row>
    <row r="81" spans="1:11" x14ac:dyDescent="0.25">
      <c r="A81" s="775"/>
      <c r="B81" s="776"/>
      <c r="C81" s="776"/>
      <c r="D81" s="776"/>
      <c r="E81" s="776"/>
      <c r="F81" s="776"/>
      <c r="G81" s="776"/>
      <c r="H81" s="776"/>
      <c r="I81" s="779"/>
    </row>
    <row r="82" spans="1:11" x14ac:dyDescent="0.25">
      <c r="A82" s="775"/>
      <c r="B82" s="776"/>
      <c r="C82" s="776"/>
      <c r="D82" s="776"/>
      <c r="E82" s="776"/>
      <c r="F82" s="776"/>
      <c r="G82" s="776"/>
      <c r="H82" s="776"/>
      <c r="I82" s="779"/>
    </row>
    <row r="83" spans="1:11" x14ac:dyDescent="0.25">
      <c r="A83" s="775"/>
      <c r="B83" s="776"/>
      <c r="C83" s="776"/>
      <c r="D83" s="776"/>
      <c r="E83" s="776"/>
      <c r="F83" s="776"/>
      <c r="G83" s="776"/>
      <c r="H83" s="776"/>
      <c r="I83" s="779"/>
    </row>
    <row r="84" spans="1:11" x14ac:dyDescent="0.25">
      <c r="A84" s="775"/>
      <c r="B84" s="776"/>
      <c r="C84" s="776"/>
      <c r="D84" s="776"/>
      <c r="E84" s="776"/>
      <c r="F84" s="776"/>
      <c r="G84" s="776"/>
      <c r="H84" s="776"/>
      <c r="I84" s="779"/>
    </row>
    <row r="85" spans="1:11" x14ac:dyDescent="0.25">
      <c r="A85" s="775"/>
      <c r="B85" s="776"/>
      <c r="C85" s="776"/>
      <c r="D85" s="776"/>
      <c r="E85" s="776"/>
      <c r="F85" s="776"/>
      <c r="G85" s="776"/>
      <c r="H85" s="776"/>
      <c r="I85" s="779"/>
    </row>
    <row r="86" spans="1:11" x14ac:dyDescent="0.25">
      <c r="A86" s="775"/>
      <c r="B86" s="776"/>
      <c r="C86" s="776"/>
      <c r="D86" s="776"/>
      <c r="E86" s="776"/>
      <c r="F86" s="776"/>
      <c r="G86" s="776"/>
      <c r="H86" s="776"/>
      <c r="I86" s="779"/>
    </row>
    <row r="87" spans="1:11" x14ac:dyDescent="0.25">
      <c r="A87" s="775"/>
      <c r="B87" s="776"/>
      <c r="C87" s="776"/>
      <c r="D87" s="776"/>
      <c r="E87" s="776"/>
      <c r="F87" s="776"/>
      <c r="G87" s="776"/>
      <c r="H87" s="776"/>
      <c r="I87" s="779"/>
    </row>
    <row r="88" spans="1:11" x14ac:dyDescent="0.25">
      <c r="A88" s="775"/>
      <c r="B88" s="776"/>
      <c r="C88" s="776"/>
      <c r="D88" s="776"/>
      <c r="E88" s="776"/>
      <c r="F88" s="776"/>
      <c r="G88" s="776"/>
      <c r="H88" s="776"/>
      <c r="I88" s="779"/>
    </row>
    <row r="89" spans="1:11" x14ac:dyDescent="0.25">
      <c r="A89" s="775"/>
      <c r="B89" s="776"/>
      <c r="C89" s="776"/>
      <c r="D89" s="776"/>
      <c r="E89" s="776"/>
      <c r="F89" s="776"/>
      <c r="G89" s="776"/>
      <c r="H89" s="776"/>
      <c r="I89" s="779"/>
    </row>
    <row r="90" spans="1:11" x14ac:dyDescent="0.25">
      <c r="A90" s="775"/>
      <c r="B90" s="776"/>
      <c r="C90" s="776"/>
      <c r="D90" s="776"/>
      <c r="E90" s="776"/>
      <c r="F90" s="776"/>
      <c r="G90" s="776"/>
      <c r="H90" s="776"/>
      <c r="I90" s="779"/>
    </row>
    <row r="91" spans="1:11" x14ac:dyDescent="0.25">
      <c r="A91" s="775"/>
      <c r="B91" s="776"/>
      <c r="C91" s="776"/>
      <c r="D91" s="776"/>
      <c r="E91" s="776"/>
      <c r="F91" s="776"/>
      <c r="G91" s="776"/>
      <c r="H91" s="776"/>
      <c r="I91" s="779"/>
    </row>
    <row r="92" spans="1:11" ht="15.75" thickBot="1" x14ac:dyDescent="0.3">
      <c r="A92" s="780"/>
      <c r="B92" s="781"/>
      <c r="C92" s="781"/>
      <c r="D92" s="781"/>
      <c r="E92" s="781"/>
      <c r="F92" s="781"/>
      <c r="G92" s="781"/>
      <c r="H92" s="781"/>
      <c r="I92" s="782"/>
    </row>
    <row r="93" spans="1:11" x14ac:dyDescent="0.25">
      <c r="A93" s="22"/>
    </row>
    <row r="94" spans="1:11" ht="15.75" thickBot="1" x14ac:dyDescent="0.3">
      <c r="A94" s="89" t="s">
        <v>1013</v>
      </c>
      <c r="B94" s="481"/>
      <c r="C94" s="481"/>
      <c r="D94" s="481"/>
      <c r="E94" s="481"/>
      <c r="F94" s="481"/>
      <c r="G94" s="481"/>
      <c r="H94" s="481"/>
      <c r="I94" s="481"/>
      <c r="J94" s="481"/>
      <c r="K94" s="481"/>
    </row>
    <row r="95" spans="1:11" x14ac:dyDescent="0.25">
      <c r="A95" s="772"/>
      <c r="B95" s="773"/>
      <c r="C95" s="773"/>
      <c r="D95" s="773"/>
      <c r="E95" s="773"/>
      <c r="F95" s="773"/>
      <c r="G95" s="773"/>
      <c r="H95" s="773"/>
      <c r="I95" s="774"/>
    </row>
    <row r="96" spans="1:11" x14ac:dyDescent="0.25">
      <c r="A96" s="775"/>
      <c r="B96" s="776"/>
      <c r="C96" s="776"/>
      <c r="D96" s="776"/>
      <c r="E96" s="776"/>
      <c r="F96" s="776"/>
      <c r="G96" s="776"/>
      <c r="H96" s="776"/>
      <c r="I96" s="779"/>
    </row>
    <row r="97" spans="1:10" x14ac:dyDescent="0.25">
      <c r="A97" s="775"/>
      <c r="B97" s="776"/>
      <c r="C97" s="776"/>
      <c r="D97" s="776"/>
      <c r="E97" s="776"/>
      <c r="F97" s="776"/>
      <c r="G97" s="776"/>
      <c r="H97" s="776"/>
      <c r="I97" s="779"/>
    </row>
    <row r="98" spans="1:10" x14ac:dyDescent="0.25">
      <c r="A98" s="775"/>
      <c r="B98" s="776"/>
      <c r="C98" s="776"/>
      <c r="D98" s="776"/>
      <c r="E98" s="776"/>
      <c r="F98" s="776"/>
      <c r="G98" s="776"/>
      <c r="H98" s="776"/>
      <c r="I98" s="779"/>
    </row>
    <row r="99" spans="1:10" x14ac:dyDescent="0.25">
      <c r="A99" s="775"/>
      <c r="B99" s="776"/>
      <c r="C99" s="776"/>
      <c r="D99" s="776"/>
      <c r="E99" s="776"/>
      <c r="F99" s="776"/>
      <c r="G99" s="776"/>
      <c r="H99" s="776"/>
      <c r="I99" s="779"/>
    </row>
    <row r="100" spans="1:10" x14ac:dyDescent="0.25">
      <c r="A100" s="775"/>
      <c r="B100" s="776"/>
      <c r="C100" s="776"/>
      <c r="D100" s="776"/>
      <c r="E100" s="776"/>
      <c r="F100" s="776"/>
      <c r="G100" s="776"/>
      <c r="H100" s="776"/>
      <c r="I100" s="779"/>
    </row>
    <row r="101" spans="1:10" x14ac:dyDescent="0.25">
      <c r="A101" s="775"/>
      <c r="B101" s="776"/>
      <c r="C101" s="776"/>
      <c r="D101" s="776"/>
      <c r="E101" s="776"/>
      <c r="F101" s="776"/>
      <c r="G101" s="776"/>
      <c r="H101" s="776"/>
      <c r="I101" s="779"/>
    </row>
    <row r="102" spans="1:10" x14ac:dyDescent="0.25">
      <c r="A102" s="775"/>
      <c r="B102" s="776"/>
      <c r="C102" s="776"/>
      <c r="D102" s="776"/>
      <c r="E102" s="776"/>
      <c r="F102" s="776"/>
      <c r="G102" s="776"/>
      <c r="H102" s="776"/>
      <c r="I102" s="779"/>
    </row>
    <row r="103" spans="1:10" x14ac:dyDescent="0.25">
      <c r="A103" s="775"/>
      <c r="B103" s="776"/>
      <c r="C103" s="776"/>
      <c r="D103" s="776"/>
      <c r="E103" s="776"/>
      <c r="F103" s="776"/>
      <c r="G103" s="776"/>
      <c r="H103" s="776"/>
      <c r="I103" s="779"/>
    </row>
    <row r="104" spans="1:10" x14ac:dyDescent="0.25">
      <c r="A104" s="775"/>
      <c r="B104" s="776"/>
      <c r="C104" s="776"/>
      <c r="D104" s="776"/>
      <c r="E104" s="776"/>
      <c r="F104" s="776"/>
      <c r="G104" s="776"/>
      <c r="H104" s="776"/>
      <c r="I104" s="779"/>
    </row>
    <row r="105" spans="1:10" x14ac:dyDescent="0.25">
      <c r="A105" s="775"/>
      <c r="B105" s="776"/>
      <c r="C105" s="776"/>
      <c r="D105" s="776"/>
      <c r="E105" s="776"/>
      <c r="F105" s="776"/>
      <c r="G105" s="776"/>
      <c r="H105" s="776"/>
      <c r="I105" s="779"/>
    </row>
    <row r="106" spans="1:10" x14ac:dyDescent="0.25">
      <c r="A106" s="775"/>
      <c r="B106" s="776"/>
      <c r="C106" s="776"/>
      <c r="D106" s="776"/>
      <c r="E106" s="776"/>
      <c r="F106" s="776"/>
      <c r="G106" s="776"/>
      <c r="H106" s="776"/>
      <c r="I106" s="779"/>
    </row>
    <row r="107" spans="1:10" x14ac:dyDescent="0.25">
      <c r="A107" s="775"/>
      <c r="B107" s="776"/>
      <c r="C107" s="776"/>
      <c r="D107" s="776"/>
      <c r="E107" s="776"/>
      <c r="F107" s="776"/>
      <c r="G107" s="776"/>
      <c r="H107" s="776"/>
      <c r="I107" s="779"/>
    </row>
    <row r="108" spans="1:10" x14ac:dyDescent="0.25">
      <c r="A108" s="775"/>
      <c r="B108" s="776"/>
      <c r="C108" s="776"/>
      <c r="D108" s="776"/>
      <c r="E108" s="776"/>
      <c r="F108" s="776"/>
      <c r="G108" s="776"/>
      <c r="H108" s="776"/>
      <c r="I108" s="779"/>
    </row>
    <row r="109" spans="1:10" ht="15.75" thickBot="1" x14ac:dyDescent="0.3">
      <c r="A109" s="780"/>
      <c r="B109" s="781"/>
      <c r="C109" s="781"/>
      <c r="D109" s="781"/>
      <c r="E109" s="781"/>
      <c r="F109" s="781"/>
      <c r="G109" s="781"/>
      <c r="H109" s="781"/>
      <c r="I109" s="782"/>
    </row>
    <row r="111" spans="1:10" ht="15.75" x14ac:dyDescent="0.25">
      <c r="A111" s="347"/>
      <c r="E111" s="27"/>
      <c r="F111" s="27" t="str">
        <f>'F8'!I60</f>
        <v>...................., ... - ....- 2014</v>
      </c>
      <c r="G111" s="27"/>
      <c r="H111" s="27"/>
      <c r="I111" s="27"/>
    </row>
    <row r="112" spans="1:10" ht="15.75" x14ac:dyDescent="0.25">
      <c r="E112" s="27"/>
      <c r="F112" s="27"/>
      <c r="G112" s="28"/>
      <c r="H112" s="28"/>
      <c r="I112" s="28"/>
      <c r="J112" s="481"/>
    </row>
    <row r="113" spans="1:9" ht="15.75" x14ac:dyDescent="0.25">
      <c r="A113" s="347"/>
      <c r="E113" s="27" t="str">
        <f>'F8'!I62</f>
        <v>Asesor</v>
      </c>
      <c r="F113" s="27"/>
      <c r="G113" s="27"/>
      <c r="H113" s="27"/>
      <c r="I113" s="27" t="str">
        <f>'F8'!J62</f>
        <v>Tanda Tangan</v>
      </c>
    </row>
    <row r="114" spans="1:9" ht="15.75" x14ac:dyDescent="0.25">
      <c r="A114" s="347"/>
      <c r="E114" s="27"/>
      <c r="F114" s="27"/>
      <c r="G114" s="27"/>
      <c r="H114" s="27"/>
      <c r="I114" s="27"/>
    </row>
    <row r="115" spans="1:9" ht="15" customHeight="1" x14ac:dyDescent="0.25">
      <c r="A115" s="91"/>
      <c r="B115" s="91"/>
      <c r="C115" s="91"/>
      <c r="E115" s="27" t="str">
        <f>'F8'!I64</f>
        <v>1. &lt;Nama Asesor 1&gt;</v>
      </c>
      <c r="F115" s="27"/>
      <c r="G115" s="27"/>
      <c r="H115" s="27"/>
      <c r="I115" s="27"/>
    </row>
    <row r="116" spans="1:9" ht="15.75" x14ac:dyDescent="0.25">
      <c r="A116" s="91"/>
      <c r="B116" s="21"/>
      <c r="C116" s="91"/>
      <c r="D116" s="91"/>
      <c r="E116" s="27"/>
      <c r="F116" s="27"/>
      <c r="G116" s="27"/>
      <c r="H116" s="27"/>
      <c r="I116" s="27"/>
    </row>
    <row r="117" spans="1:9" ht="15.75" x14ac:dyDescent="0.25">
      <c r="A117" s="91"/>
      <c r="B117" s="21"/>
      <c r="C117" s="91"/>
      <c r="D117" s="91"/>
      <c r="E117" s="27" t="str">
        <f>'F8'!I66</f>
        <v>2. &lt;Nama Asesor 2&gt;</v>
      </c>
      <c r="F117" s="27"/>
      <c r="G117" s="27"/>
      <c r="H117" s="27"/>
      <c r="I117" s="27"/>
    </row>
    <row r="118" spans="1:9" ht="15" customHeight="1" x14ac:dyDescent="0.25">
      <c r="A118" s="91"/>
      <c r="B118" s="91"/>
      <c r="C118" s="91"/>
      <c r="E118" s="27"/>
      <c r="F118" s="27"/>
      <c r="G118" s="27"/>
      <c r="H118" s="27"/>
      <c r="I118" s="27"/>
    </row>
    <row r="119" spans="1:9" ht="15.75" x14ac:dyDescent="0.25">
      <c r="A119" s="91"/>
      <c r="B119" s="91"/>
      <c r="C119" s="91"/>
      <c r="D119" s="91"/>
      <c r="E119" s="27" t="str">
        <f>'F8'!I68</f>
        <v>3. &lt;Nama Asesor 3&gt;</v>
      </c>
      <c r="F119" s="27"/>
      <c r="G119" s="27"/>
      <c r="H119" s="27"/>
      <c r="I119" s="27"/>
    </row>
    <row r="120" spans="1:9" ht="15.75" x14ac:dyDescent="0.25">
      <c r="E120" s="27"/>
      <c r="F120" s="27"/>
      <c r="G120" s="27"/>
      <c r="H120" s="27"/>
      <c r="I120" s="27"/>
    </row>
    <row r="121" spans="1:9" ht="15.75" x14ac:dyDescent="0.25">
      <c r="E121" s="27"/>
      <c r="F121" s="27"/>
      <c r="G121" s="27"/>
      <c r="H121" s="27"/>
      <c r="I121" s="27"/>
    </row>
    <row r="122" spans="1:9" ht="15.75" x14ac:dyDescent="0.25">
      <c r="E122" s="27"/>
      <c r="F122" s="27"/>
      <c r="G122" s="27"/>
      <c r="H122" s="27"/>
      <c r="I122" s="27"/>
    </row>
    <row r="123" spans="1:9" ht="15.75" x14ac:dyDescent="0.25">
      <c r="E123" s="27"/>
      <c r="F123" s="27"/>
      <c r="G123" s="27"/>
      <c r="H123" s="27"/>
      <c r="I123" s="27"/>
    </row>
    <row r="124" spans="1:9" ht="15.75" x14ac:dyDescent="0.25">
      <c r="E124" s="27"/>
      <c r="F124" s="27"/>
      <c r="G124" s="27"/>
      <c r="H124" s="27"/>
      <c r="I124" s="27"/>
    </row>
    <row r="125" spans="1:9" ht="15.75" x14ac:dyDescent="0.25">
      <c r="E125" s="27"/>
      <c r="F125" s="27"/>
      <c r="G125" s="27"/>
      <c r="H125" s="27"/>
      <c r="I125" s="27"/>
    </row>
    <row r="126" spans="1:9" ht="15.75" x14ac:dyDescent="0.25">
      <c r="E126" s="27"/>
      <c r="F126" s="27"/>
      <c r="G126" s="27"/>
      <c r="H126" s="27"/>
      <c r="I126" s="27"/>
    </row>
  </sheetData>
  <mergeCells count="13">
    <mergeCell ref="A95:I109"/>
    <mergeCell ref="A25:I35"/>
    <mergeCell ref="A38:I46"/>
    <mergeCell ref="A48:I48"/>
    <mergeCell ref="A49:I60"/>
    <mergeCell ref="A63:I74"/>
    <mergeCell ref="A78:I92"/>
    <mergeCell ref="A11:I21"/>
    <mergeCell ref="A1:I1"/>
    <mergeCell ref="A3:C3"/>
    <mergeCell ref="A6:C6"/>
    <mergeCell ref="A7:C7"/>
    <mergeCell ref="A8:I8"/>
  </mergeCells>
  <pageMargins left="0.70866141732283472" right="0.70866141732283472" top="0.74803149606299213" bottom="0.74803149606299213" header="0.31496062992125984" footer="0.31496062992125984"/>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0"/>
  <sheetViews>
    <sheetView topLeftCell="B22" zoomScaleNormal="100" workbookViewId="0">
      <selection activeCell="H4" sqref="H4:L4"/>
    </sheetView>
  </sheetViews>
  <sheetFormatPr defaultRowHeight="15" x14ac:dyDescent="0.25"/>
  <cols>
    <col min="1" max="1" width="5.140625" style="2" customWidth="1"/>
    <col min="2" max="2" width="8.140625" style="5" customWidth="1"/>
    <col min="3" max="3" width="4.85546875" style="15" customWidth="1"/>
    <col min="4" max="4" width="9.7109375" style="2" customWidth="1"/>
    <col min="5" max="5" width="6" style="15" customWidth="1"/>
    <col min="6" max="6" width="8" style="2" customWidth="1"/>
    <col min="7" max="7" width="3.42578125" style="15" customWidth="1"/>
    <col min="8" max="8" width="11.42578125" style="2" customWidth="1"/>
    <col min="9" max="11" width="9.140625" style="2"/>
    <col min="12" max="12" width="1.7109375" style="15" customWidth="1"/>
    <col min="13" max="15" width="9.140625" style="15"/>
    <col min="16" max="16" width="3.85546875" style="15" customWidth="1"/>
    <col min="17" max="17" width="5.7109375" style="15" customWidth="1"/>
    <col min="18" max="18" width="8" style="15" customWidth="1"/>
    <col min="19" max="19" width="6" style="15" customWidth="1"/>
    <col min="20" max="20" width="8" style="15" customWidth="1"/>
    <col min="21" max="21" width="5.28515625" style="15" customWidth="1"/>
    <col min="22" max="22" width="8" style="15" customWidth="1"/>
    <col min="23" max="23" width="5" style="15" customWidth="1"/>
    <col min="24" max="24" width="5.7109375" style="15" customWidth="1"/>
    <col min="25" max="25" width="8" style="15" customWidth="1"/>
    <col min="26" max="26" width="6" style="15" customWidth="1"/>
    <col min="27" max="27" width="8" style="15" customWidth="1"/>
    <col min="28" max="28" width="5.28515625" style="15" customWidth="1"/>
    <col min="29" max="29" width="8" style="15" customWidth="1"/>
    <col min="30" max="30" width="4.5703125" style="15" customWidth="1"/>
    <col min="31" max="31" width="4.140625" style="15" customWidth="1"/>
    <col min="32" max="32" width="7.85546875" style="15" customWidth="1"/>
    <col min="33" max="33" width="4.7109375" style="15" customWidth="1"/>
    <col min="34" max="34" width="10.28515625" style="15" customWidth="1"/>
    <col min="35" max="35" width="5.28515625" style="15" customWidth="1"/>
    <col min="36" max="36" width="7.42578125" style="15" customWidth="1"/>
    <col min="37" max="16384" width="9.140625" style="15"/>
  </cols>
  <sheetData>
    <row r="1" spans="1:36" ht="37.5" customHeight="1" thickBot="1" x14ac:dyDescent="0.3">
      <c r="A1" s="808" t="s">
        <v>984</v>
      </c>
      <c r="B1" s="809"/>
      <c r="C1" s="809"/>
      <c r="D1" s="809"/>
      <c r="E1" s="809"/>
      <c r="F1" s="809"/>
      <c r="H1" s="15"/>
      <c r="I1" s="15"/>
      <c r="J1" s="15"/>
      <c r="K1" s="15"/>
      <c r="Q1" s="810" t="s">
        <v>985</v>
      </c>
      <c r="R1" s="810"/>
      <c r="S1" s="810"/>
      <c r="T1" s="810"/>
      <c r="U1" s="810"/>
      <c r="V1" s="810"/>
      <c r="X1" s="811" t="s">
        <v>1002</v>
      </c>
      <c r="Y1" s="811"/>
      <c r="Z1" s="811"/>
      <c r="AA1" s="811"/>
      <c r="AB1" s="811"/>
      <c r="AC1" s="811"/>
      <c r="AE1" s="15" t="s">
        <v>1002</v>
      </c>
    </row>
    <row r="2" spans="1:36" s="369" customFormat="1" ht="33" customHeight="1" thickBot="1" x14ac:dyDescent="0.3">
      <c r="A2" s="812" t="s">
        <v>986</v>
      </c>
      <c r="B2" s="813"/>
      <c r="C2" s="812" t="s">
        <v>987</v>
      </c>
      <c r="D2" s="813"/>
      <c r="E2" s="814" t="s">
        <v>988</v>
      </c>
      <c r="F2" s="813"/>
      <c r="H2" s="815" t="s">
        <v>997</v>
      </c>
      <c r="I2" s="816"/>
      <c r="J2" s="816"/>
      <c r="K2" s="816"/>
      <c r="L2" s="816"/>
      <c r="M2" s="816"/>
      <c r="N2" s="816"/>
      <c r="O2" s="817"/>
      <c r="Q2" s="812" t="s">
        <v>986</v>
      </c>
      <c r="R2" s="818"/>
      <c r="S2" s="812" t="s">
        <v>987</v>
      </c>
      <c r="T2" s="813"/>
      <c r="U2" s="812" t="s">
        <v>988</v>
      </c>
      <c r="V2" s="813"/>
      <c r="X2" s="812" t="s">
        <v>986</v>
      </c>
      <c r="Y2" s="818"/>
      <c r="Z2" s="812" t="s">
        <v>987</v>
      </c>
      <c r="AA2" s="813"/>
      <c r="AB2" s="812" t="s">
        <v>988</v>
      </c>
      <c r="AC2" s="813"/>
      <c r="AE2" s="806" t="s">
        <v>986</v>
      </c>
      <c r="AF2" s="807"/>
      <c r="AG2" s="806" t="s">
        <v>987</v>
      </c>
      <c r="AH2" s="807"/>
      <c r="AI2" s="806" t="s">
        <v>988</v>
      </c>
      <c r="AJ2" s="807"/>
    </row>
    <row r="3" spans="1:36" ht="30.75" thickBot="1" x14ac:dyDescent="0.3">
      <c r="A3" s="383" t="s">
        <v>1</v>
      </c>
      <c r="B3" s="390" t="s">
        <v>119</v>
      </c>
      <c r="C3" s="383" t="s">
        <v>1</v>
      </c>
      <c r="D3" s="390" t="s">
        <v>119</v>
      </c>
      <c r="E3" s="391" t="s">
        <v>1</v>
      </c>
      <c r="F3" s="390" t="s">
        <v>119</v>
      </c>
      <c r="H3" s="821" t="s">
        <v>989</v>
      </c>
      <c r="I3" s="816"/>
      <c r="J3" s="816"/>
      <c r="K3" s="816"/>
      <c r="L3" s="816"/>
      <c r="M3" s="482" t="s">
        <v>990</v>
      </c>
      <c r="N3" s="482" t="s">
        <v>991</v>
      </c>
      <c r="O3" s="370" t="s">
        <v>992</v>
      </c>
      <c r="Q3" s="383" t="s">
        <v>1</v>
      </c>
      <c r="R3" s="463" t="s">
        <v>119</v>
      </c>
      <c r="S3" s="464" t="s">
        <v>1</v>
      </c>
      <c r="T3" s="465" t="s">
        <v>119</v>
      </c>
      <c r="U3" s="383" t="s">
        <v>1</v>
      </c>
      <c r="V3" s="390" t="s">
        <v>119</v>
      </c>
      <c r="W3" s="369"/>
      <c r="X3" s="383" t="s">
        <v>1</v>
      </c>
      <c r="Y3" s="463" t="s">
        <v>119</v>
      </c>
      <c r="Z3" s="383" t="s">
        <v>1</v>
      </c>
      <c r="AA3" s="390" t="s">
        <v>119</v>
      </c>
      <c r="AB3" s="383" t="s">
        <v>1</v>
      </c>
      <c r="AC3" s="390" t="s">
        <v>119</v>
      </c>
      <c r="AE3" s="563" t="s">
        <v>1</v>
      </c>
      <c r="AF3" s="563" t="s">
        <v>119</v>
      </c>
      <c r="AG3" s="563" t="s">
        <v>1</v>
      </c>
      <c r="AH3" s="563" t="s">
        <v>119</v>
      </c>
      <c r="AI3" s="563" t="s">
        <v>1</v>
      </c>
      <c r="AJ3" s="563" t="s">
        <v>119</v>
      </c>
    </row>
    <row r="4" spans="1:36" x14ac:dyDescent="0.25">
      <c r="A4" s="384">
        <v>1</v>
      </c>
      <c r="B4" s="378">
        <v>3.1007751937984498</v>
      </c>
      <c r="C4" s="376">
        <v>1</v>
      </c>
      <c r="D4" s="378">
        <v>50</v>
      </c>
      <c r="E4" s="385">
        <v>1</v>
      </c>
      <c r="F4" s="378">
        <v>7.4074074074074066</v>
      </c>
      <c r="H4" s="822" t="s">
        <v>993</v>
      </c>
      <c r="I4" s="823"/>
      <c r="J4" s="823"/>
      <c r="K4" s="823"/>
      <c r="L4" s="823"/>
      <c r="M4" s="371">
        <v>0.75</v>
      </c>
      <c r="N4" s="372">
        <f>B79</f>
        <v>399.99999999999977</v>
      </c>
      <c r="O4" s="373">
        <f>M4*N4</f>
        <v>299.99999999999983</v>
      </c>
      <c r="Q4" s="376">
        <f>'F6'!A13</f>
        <v>1</v>
      </c>
      <c r="R4" s="377">
        <f>'F6'!M13</f>
        <v>3.1007751937984498</v>
      </c>
      <c r="S4" s="392">
        <f>C4</f>
        <v>1</v>
      </c>
      <c r="T4" s="393">
        <f>'F7'!M14</f>
        <v>50</v>
      </c>
      <c r="U4" s="385">
        <f>'F8'!A13</f>
        <v>1</v>
      </c>
      <c r="V4" s="378">
        <f>'F8'!M13</f>
        <v>7.4074074074074066</v>
      </c>
      <c r="W4" s="5"/>
      <c r="X4" s="376">
        <f>F10_form_validator!A7</f>
        <v>1</v>
      </c>
      <c r="Y4" s="377">
        <f>F10_form_validator!M7</f>
        <v>2.3255813953488373</v>
      </c>
      <c r="Z4" s="392">
        <f>S4</f>
        <v>1</v>
      </c>
      <c r="AA4" s="393">
        <f>F11_form_validator!O13</f>
        <v>37.5</v>
      </c>
      <c r="AB4" s="385">
        <f>F12_form_validator!A8</f>
        <v>1</v>
      </c>
      <c r="AC4" s="378">
        <f>F12_form_validator!N8</f>
        <v>5.5555555555555554</v>
      </c>
      <c r="AE4" s="563">
        <f>F10_form_validator!A7</f>
        <v>1</v>
      </c>
      <c r="AF4" s="564">
        <f>F10_form_validator!N7</f>
        <v>2.7131782945736438</v>
      </c>
      <c r="AG4" s="563">
        <f>Z4</f>
        <v>1</v>
      </c>
      <c r="AH4" s="563">
        <f>F11_form_validator!P13</f>
        <v>43.75</v>
      </c>
      <c r="AI4" s="563">
        <f>U4</f>
        <v>1</v>
      </c>
      <c r="AJ4" s="564">
        <f>F12_form_validator!O8</f>
        <v>6.481481481481481</v>
      </c>
    </row>
    <row r="5" spans="1:36" x14ac:dyDescent="0.25">
      <c r="A5" s="384">
        <v>2</v>
      </c>
      <c r="B5" s="378">
        <v>3.1007751937984498</v>
      </c>
      <c r="C5" s="102">
        <v>2</v>
      </c>
      <c r="D5" s="378">
        <v>50</v>
      </c>
      <c r="E5" s="385">
        <v>2</v>
      </c>
      <c r="F5" s="378">
        <v>7.4074074074074066</v>
      </c>
      <c r="H5" s="824" t="s">
        <v>994</v>
      </c>
      <c r="I5" s="825"/>
      <c r="J5" s="825"/>
      <c r="K5" s="825"/>
      <c r="L5" s="825"/>
      <c r="M5" s="374">
        <v>0.1</v>
      </c>
      <c r="N5" s="96">
        <f>D79</f>
        <v>400</v>
      </c>
      <c r="O5" s="375">
        <f t="shared" ref="O5:O6" si="0">M5*N5</f>
        <v>40</v>
      </c>
      <c r="Q5" s="376">
        <f>'F6'!A14</f>
        <v>2</v>
      </c>
      <c r="R5" s="377">
        <f>'F6'!M14</f>
        <v>3.1007751937984498</v>
      </c>
      <c r="S5" s="102">
        <f t="shared" ref="S5:S14" si="1">C5</f>
        <v>2</v>
      </c>
      <c r="T5" s="380">
        <f>'F7'!M15</f>
        <v>50</v>
      </c>
      <c r="U5" s="385">
        <f>'F8'!A14</f>
        <v>2</v>
      </c>
      <c r="V5" s="378">
        <f>'F8'!M14</f>
        <v>7.4074074074074066</v>
      </c>
      <c r="W5" s="5"/>
      <c r="X5" s="376">
        <f>F10_form_validator!A8</f>
        <v>2</v>
      </c>
      <c r="Y5" s="377">
        <f>F10_form_validator!M8</f>
        <v>2.3255813953488373</v>
      </c>
      <c r="Z5" s="376">
        <f t="shared" ref="Z5:Z14" si="2">S5</f>
        <v>2</v>
      </c>
      <c r="AA5" s="378">
        <f>F11_form_validator!O14</f>
        <v>37.5</v>
      </c>
      <c r="AB5" s="385">
        <f>F12_form_validator!A9</f>
        <v>2</v>
      </c>
      <c r="AC5" s="378">
        <f>F12_form_validator!N9</f>
        <v>5.5555555555555554</v>
      </c>
      <c r="AE5" s="563">
        <f>F10_form_validator!A8</f>
        <v>2</v>
      </c>
      <c r="AF5" s="564">
        <f>F10_form_validator!N8</f>
        <v>2.7131782945736438</v>
      </c>
      <c r="AG5" s="563">
        <f t="shared" ref="AG5:AG14" si="3">Z5</f>
        <v>2</v>
      </c>
      <c r="AH5" s="563">
        <f>F11_form_validator!P14</f>
        <v>43.75</v>
      </c>
      <c r="AI5" s="563">
        <f t="shared" ref="AI5:AI48" si="4">U5</f>
        <v>2</v>
      </c>
      <c r="AJ5" s="564">
        <f>F12_form_validator!O9</f>
        <v>6.481481481481481</v>
      </c>
    </row>
    <row r="6" spans="1:36" x14ac:dyDescent="0.25">
      <c r="A6" s="384">
        <v>3</v>
      </c>
      <c r="B6" s="378">
        <v>3.1007751937984498</v>
      </c>
      <c r="C6" s="102">
        <v>3</v>
      </c>
      <c r="D6" s="378">
        <v>30</v>
      </c>
      <c r="E6" s="385">
        <v>3</v>
      </c>
      <c r="F6" s="378">
        <v>7.4074074074074066</v>
      </c>
      <c r="H6" s="824" t="s">
        <v>1000</v>
      </c>
      <c r="I6" s="825"/>
      <c r="J6" s="825"/>
      <c r="K6" s="825"/>
      <c r="L6" s="825"/>
      <c r="M6" s="374">
        <v>0.15</v>
      </c>
      <c r="N6" s="96">
        <f>F79</f>
        <v>399.99999999999989</v>
      </c>
      <c r="O6" s="375">
        <f t="shared" si="0"/>
        <v>59.999999999999979</v>
      </c>
      <c r="Q6" s="376">
        <f>'F6'!A15</f>
        <v>3</v>
      </c>
      <c r="R6" s="377">
        <f>'F6'!M15</f>
        <v>3.1007751937984498</v>
      </c>
      <c r="S6" s="102">
        <f t="shared" si="1"/>
        <v>3</v>
      </c>
      <c r="T6" s="380">
        <f>'F7'!M17</f>
        <v>30</v>
      </c>
      <c r="U6" s="385">
        <f>'F8'!A15</f>
        <v>3</v>
      </c>
      <c r="V6" s="378">
        <f>'F8'!M15</f>
        <v>7.4074074074074066</v>
      </c>
      <c r="W6" s="5"/>
      <c r="X6" s="376">
        <f>F10_form_validator!A9</f>
        <v>3</v>
      </c>
      <c r="Y6" s="377">
        <f>F10_form_validator!M9</f>
        <v>2.3255813953488373</v>
      </c>
      <c r="Z6" s="376">
        <f t="shared" si="2"/>
        <v>3</v>
      </c>
      <c r="AA6" s="378">
        <f>F11_form_validator!O16</f>
        <v>22.5</v>
      </c>
      <c r="AB6" s="385">
        <f>F12_form_validator!A10</f>
        <v>3</v>
      </c>
      <c r="AC6" s="378">
        <f>F12_form_validator!N10</f>
        <v>5.5555555555555554</v>
      </c>
      <c r="AE6" s="563">
        <f>F10_form_validator!A9</f>
        <v>3</v>
      </c>
      <c r="AF6" s="564">
        <f>F10_form_validator!N9</f>
        <v>2.7131782945736438</v>
      </c>
      <c r="AG6" s="563">
        <f t="shared" si="3"/>
        <v>3</v>
      </c>
      <c r="AH6" s="563">
        <f>F11_form_validator!P16</f>
        <v>26.25</v>
      </c>
      <c r="AI6" s="563">
        <f t="shared" si="4"/>
        <v>3</v>
      </c>
      <c r="AJ6" s="564">
        <f>F12_form_validator!O10</f>
        <v>6.481481481481481</v>
      </c>
    </row>
    <row r="7" spans="1:36" ht="15.75" thickBot="1" x14ac:dyDescent="0.3">
      <c r="A7" s="384">
        <v>4</v>
      </c>
      <c r="B7" s="378">
        <v>3.1007751937984498</v>
      </c>
      <c r="C7" s="102">
        <v>4</v>
      </c>
      <c r="D7" s="378">
        <v>30</v>
      </c>
      <c r="E7" s="385">
        <v>4</v>
      </c>
      <c r="F7" s="378">
        <v>13.333333333333332</v>
      </c>
      <c r="H7" s="826" t="s">
        <v>995</v>
      </c>
      <c r="I7" s="827"/>
      <c r="J7" s="827"/>
      <c r="K7" s="827"/>
      <c r="L7" s="827"/>
      <c r="M7" s="827"/>
      <c r="N7" s="827"/>
      <c r="O7" s="379">
        <f>SUM(O4:O6)</f>
        <v>399.99999999999983</v>
      </c>
      <c r="Q7" s="376">
        <f>'F6'!A16</f>
        <v>4</v>
      </c>
      <c r="R7" s="377">
        <f>'F6'!M16</f>
        <v>3.1007751937984498</v>
      </c>
      <c r="S7" s="102">
        <f t="shared" si="1"/>
        <v>4</v>
      </c>
      <c r="T7" s="380">
        <f>'F7'!M18</f>
        <v>30</v>
      </c>
      <c r="U7" s="385">
        <f>'F8'!A16</f>
        <v>4</v>
      </c>
      <c r="V7" s="378">
        <f>'F8'!M16</f>
        <v>13.333333333333332</v>
      </c>
      <c r="W7" s="5"/>
      <c r="X7" s="376">
        <f>F10_form_validator!A10</f>
        <v>4</v>
      </c>
      <c r="Y7" s="377">
        <f>F10_form_validator!M10</f>
        <v>2.3255813953488373</v>
      </c>
      <c r="Z7" s="376">
        <f t="shared" si="2"/>
        <v>4</v>
      </c>
      <c r="AA7" s="378">
        <f>F11_form_validator!O17</f>
        <v>22.5</v>
      </c>
      <c r="AB7" s="385">
        <f>F12_form_validator!A11</f>
        <v>4</v>
      </c>
      <c r="AC7" s="378">
        <f>F12_form_validator!N11</f>
        <v>10</v>
      </c>
      <c r="AE7" s="563">
        <f>F10_form_validator!A10</f>
        <v>4</v>
      </c>
      <c r="AF7" s="564">
        <f>F10_form_validator!N10</f>
        <v>2.7131782945736438</v>
      </c>
      <c r="AG7" s="563">
        <f t="shared" si="3"/>
        <v>4</v>
      </c>
      <c r="AH7" s="563">
        <f>F11_form_validator!P17</f>
        <v>26.25</v>
      </c>
      <c r="AI7" s="563">
        <f t="shared" si="4"/>
        <v>4</v>
      </c>
      <c r="AJ7" s="564">
        <f>F12_form_validator!O11</f>
        <v>11.666666666666666</v>
      </c>
    </row>
    <row r="8" spans="1:36" ht="15.75" thickBot="1" x14ac:dyDescent="0.3">
      <c r="A8" s="384">
        <v>5</v>
      </c>
      <c r="B8" s="378">
        <v>3.1007751937984498</v>
      </c>
      <c r="C8" s="102">
        <v>5</v>
      </c>
      <c r="D8" s="378">
        <v>30</v>
      </c>
      <c r="E8" s="385">
        <v>5</v>
      </c>
      <c r="F8" s="378">
        <v>6.6666666666666661</v>
      </c>
      <c r="H8" s="828" t="s">
        <v>996</v>
      </c>
      <c r="I8" s="829"/>
      <c r="J8" s="829"/>
      <c r="K8" s="829"/>
      <c r="L8" s="829"/>
      <c r="M8" s="830" t="str">
        <f>IF(O7&lt;200,"TIDAK LOLOS",IF(O7&lt;=300,"C",IF(O7&lt;361,"B","A")))</f>
        <v>A</v>
      </c>
      <c r="N8" s="830"/>
      <c r="O8" s="831"/>
      <c r="Q8" s="376">
        <f>'F6'!A17</f>
        <v>5</v>
      </c>
      <c r="R8" s="377">
        <f>'F6'!M17</f>
        <v>3.1007751937984498</v>
      </c>
      <c r="S8" s="102">
        <f t="shared" si="1"/>
        <v>5</v>
      </c>
      <c r="T8" s="380">
        <f>'F7'!M19</f>
        <v>30</v>
      </c>
      <c r="U8" s="385">
        <f>'F8'!A17</f>
        <v>5</v>
      </c>
      <c r="V8" s="378">
        <f>'F8'!M17</f>
        <v>6.6666666666666661</v>
      </c>
      <c r="W8" s="5"/>
      <c r="X8" s="376">
        <f>F10_form_validator!A11</f>
        <v>5</v>
      </c>
      <c r="Y8" s="377">
        <f>F10_form_validator!M11</f>
        <v>2.3255813953488373</v>
      </c>
      <c r="Z8" s="376">
        <f t="shared" si="2"/>
        <v>5</v>
      </c>
      <c r="AA8" s="378">
        <f>F11_form_validator!O18</f>
        <v>22.5</v>
      </c>
      <c r="AB8" s="385">
        <f>F12_form_validator!A12</f>
        <v>5</v>
      </c>
      <c r="AC8" s="378">
        <f>F12_form_validator!N12</f>
        <v>5</v>
      </c>
      <c r="AE8" s="563">
        <f>F10_form_validator!A11</f>
        <v>5</v>
      </c>
      <c r="AF8" s="564">
        <f>F10_form_validator!N11</f>
        <v>2.7131782945736438</v>
      </c>
      <c r="AG8" s="563">
        <f t="shared" si="3"/>
        <v>5</v>
      </c>
      <c r="AH8" s="563">
        <f>F11_form_validator!P18</f>
        <v>26.25</v>
      </c>
      <c r="AI8" s="563">
        <f t="shared" si="4"/>
        <v>5</v>
      </c>
      <c r="AJ8" s="564">
        <f>F12_form_validator!O12</f>
        <v>5.833333333333333</v>
      </c>
    </row>
    <row r="9" spans="1:36" x14ac:dyDescent="0.25">
      <c r="A9" s="384">
        <v>6</v>
      </c>
      <c r="B9" s="378">
        <v>1.5503875968992249</v>
      </c>
      <c r="C9" s="102">
        <v>6</v>
      </c>
      <c r="D9" s="378">
        <v>30</v>
      </c>
      <c r="E9" s="385">
        <v>6</v>
      </c>
      <c r="F9" s="378">
        <v>13.333333333333332</v>
      </c>
      <c r="H9" s="15"/>
      <c r="I9" s="15"/>
      <c r="J9" s="15"/>
      <c r="K9" s="15"/>
      <c r="Q9" s="376">
        <f>'F6'!A18</f>
        <v>6</v>
      </c>
      <c r="R9" s="377">
        <f>'F6'!M18</f>
        <v>1.5503875968992249</v>
      </c>
      <c r="S9" s="102">
        <f t="shared" si="1"/>
        <v>6</v>
      </c>
      <c r="T9" s="380">
        <f>'F7'!M20</f>
        <v>30</v>
      </c>
      <c r="U9" s="385">
        <f>'F8'!A18</f>
        <v>6</v>
      </c>
      <c r="V9" s="378">
        <f>'F8'!M18</f>
        <v>13.333333333333332</v>
      </c>
      <c r="W9" s="5"/>
      <c r="X9" s="376">
        <f>F10_form_validator!A12</f>
        <v>6</v>
      </c>
      <c r="Y9" s="377">
        <f>F10_form_validator!M12</f>
        <v>1.1627906976744187</v>
      </c>
      <c r="Z9" s="376">
        <f t="shared" si="2"/>
        <v>6</v>
      </c>
      <c r="AA9" s="378">
        <f>F11_form_validator!O19</f>
        <v>22.5</v>
      </c>
      <c r="AB9" s="385">
        <f>F12_form_validator!A13</f>
        <v>6</v>
      </c>
      <c r="AC9" s="378">
        <f>F12_form_validator!N13</f>
        <v>10</v>
      </c>
      <c r="AE9" s="563">
        <f>F10_form_validator!A12</f>
        <v>6</v>
      </c>
      <c r="AF9" s="564">
        <f>F10_form_validator!N12</f>
        <v>1.3565891472868219</v>
      </c>
      <c r="AG9" s="563">
        <f t="shared" si="3"/>
        <v>6</v>
      </c>
      <c r="AH9" s="563">
        <f>F11_form_validator!P19</f>
        <v>26.25</v>
      </c>
      <c r="AI9" s="563">
        <f t="shared" si="4"/>
        <v>6</v>
      </c>
      <c r="AJ9" s="564">
        <f>F12_form_validator!O13</f>
        <v>11.666666666666666</v>
      </c>
    </row>
    <row r="10" spans="1:36" x14ac:dyDescent="0.25">
      <c r="A10" s="384">
        <v>7</v>
      </c>
      <c r="B10" s="378">
        <v>1.5503875968992249</v>
      </c>
      <c r="C10" s="102">
        <v>7</v>
      </c>
      <c r="D10" s="378">
        <v>40</v>
      </c>
      <c r="E10" s="385">
        <v>7</v>
      </c>
      <c r="F10" s="378">
        <v>13.333333333333332</v>
      </c>
      <c r="H10" s="30"/>
      <c r="I10" s="30"/>
      <c r="J10" s="30"/>
      <c r="K10" s="30"/>
      <c r="L10" s="30"/>
      <c r="M10" s="30"/>
      <c r="N10" s="30"/>
      <c r="O10" s="30"/>
      <c r="Q10" s="376">
        <f>'F6'!A19</f>
        <v>7</v>
      </c>
      <c r="R10" s="377">
        <f>'F6'!M19</f>
        <v>1.5503875968992249</v>
      </c>
      <c r="S10" s="102">
        <f t="shared" si="1"/>
        <v>7</v>
      </c>
      <c r="T10" s="380">
        <f>'F7'!M22</f>
        <v>40</v>
      </c>
      <c r="U10" s="385">
        <f>'F8'!A19</f>
        <v>7</v>
      </c>
      <c r="V10" s="378">
        <f>'F8'!M19</f>
        <v>13.333333333333332</v>
      </c>
      <c r="W10" s="5"/>
      <c r="X10" s="376">
        <f>F10_form_validator!A13</f>
        <v>7</v>
      </c>
      <c r="Y10" s="377">
        <f>F10_form_validator!M13</f>
        <v>1.1627906976744187</v>
      </c>
      <c r="Z10" s="376">
        <f t="shared" si="2"/>
        <v>7</v>
      </c>
      <c r="AA10" s="378">
        <f>F11_form_validator!O21</f>
        <v>30</v>
      </c>
      <c r="AB10" s="385">
        <f>F12_form_validator!A14</f>
        <v>7</v>
      </c>
      <c r="AC10" s="378">
        <f>F12_form_validator!N14</f>
        <v>10</v>
      </c>
      <c r="AE10" s="563">
        <f>F10_form_validator!A13</f>
        <v>7</v>
      </c>
      <c r="AF10" s="564">
        <f>F10_form_validator!N13</f>
        <v>1.3565891472868219</v>
      </c>
      <c r="AG10" s="563">
        <f t="shared" si="3"/>
        <v>7</v>
      </c>
      <c r="AH10" s="563">
        <f>F11_form_validator!P21</f>
        <v>35</v>
      </c>
      <c r="AI10" s="563">
        <f t="shared" si="4"/>
        <v>7</v>
      </c>
      <c r="AJ10" s="564">
        <f>F12_form_validator!O14</f>
        <v>11.666666666666666</v>
      </c>
    </row>
    <row r="11" spans="1:36" ht="15.75" customHeight="1" thickBot="1" x14ac:dyDescent="0.3">
      <c r="A11" s="384">
        <v>8</v>
      </c>
      <c r="B11" s="378">
        <v>3.1007751937984498</v>
      </c>
      <c r="C11" s="102">
        <v>8</v>
      </c>
      <c r="D11" s="378">
        <v>20</v>
      </c>
      <c r="E11" s="385">
        <v>8</v>
      </c>
      <c r="F11" s="378">
        <v>13.333333333333332</v>
      </c>
      <c r="H11" s="30"/>
      <c r="I11" s="30"/>
      <c r="J11" s="30"/>
      <c r="K11" s="30"/>
      <c r="L11" s="30"/>
      <c r="M11" s="30"/>
      <c r="N11" s="30"/>
      <c r="O11" s="30"/>
      <c r="Q11" s="376">
        <f>'F6'!A20</f>
        <v>8</v>
      </c>
      <c r="R11" s="377">
        <f>'F6'!M20</f>
        <v>3.1007751937984498</v>
      </c>
      <c r="S11" s="102">
        <f t="shared" si="1"/>
        <v>8</v>
      </c>
      <c r="T11" s="380">
        <f>'F7'!M23</f>
        <v>20</v>
      </c>
      <c r="U11" s="385">
        <f>'F8'!A20</f>
        <v>8</v>
      </c>
      <c r="V11" s="378">
        <f>'F8'!M20</f>
        <v>13.333333333333332</v>
      </c>
      <c r="W11" s="5"/>
      <c r="X11" s="376">
        <f>F10_form_validator!A14</f>
        <v>8</v>
      </c>
      <c r="Y11" s="377">
        <f>F10_form_validator!M14</f>
        <v>2.3255813953488373</v>
      </c>
      <c r="Z11" s="376">
        <f t="shared" si="2"/>
        <v>8</v>
      </c>
      <c r="AA11" s="378">
        <f>F11_form_validator!O22</f>
        <v>15</v>
      </c>
      <c r="AB11" s="385">
        <f>F12_form_validator!A15</f>
        <v>8</v>
      </c>
      <c r="AC11" s="378">
        <f>F12_form_validator!N15</f>
        <v>10</v>
      </c>
      <c r="AE11" s="563">
        <f>F10_form_validator!A14</f>
        <v>8</v>
      </c>
      <c r="AF11" s="564">
        <f>F10_form_validator!N14</f>
        <v>2.7131782945736438</v>
      </c>
      <c r="AG11" s="563">
        <f t="shared" si="3"/>
        <v>8</v>
      </c>
      <c r="AH11" s="563">
        <f>F11_form_validator!P22</f>
        <v>17.5</v>
      </c>
      <c r="AI11" s="563">
        <f t="shared" si="4"/>
        <v>8</v>
      </c>
      <c r="AJ11" s="564">
        <f>F12_form_validator!O15</f>
        <v>11.666666666666666</v>
      </c>
    </row>
    <row r="12" spans="1:36" ht="29.25" customHeight="1" thickBot="1" x14ac:dyDescent="0.3">
      <c r="A12" s="384">
        <v>9</v>
      </c>
      <c r="B12" s="378">
        <v>3.1007751937984498</v>
      </c>
      <c r="C12" s="102">
        <v>9</v>
      </c>
      <c r="D12" s="378">
        <v>20</v>
      </c>
      <c r="E12" s="385">
        <v>9</v>
      </c>
      <c r="F12" s="378">
        <v>6.6666666666666661</v>
      </c>
      <c r="H12" s="832" t="s">
        <v>998</v>
      </c>
      <c r="I12" s="833"/>
      <c r="J12" s="833"/>
      <c r="K12" s="833"/>
      <c r="L12" s="833"/>
      <c r="M12" s="833"/>
      <c r="N12" s="833"/>
      <c r="O12" s="834"/>
      <c r="Q12" s="376">
        <f>'F6'!A21</f>
        <v>9</v>
      </c>
      <c r="R12" s="377">
        <f>'F6'!M21</f>
        <v>3.1007751937984498</v>
      </c>
      <c r="S12" s="102">
        <f t="shared" si="1"/>
        <v>9</v>
      </c>
      <c r="T12" s="380">
        <f>'F7'!M24</f>
        <v>20</v>
      </c>
      <c r="U12" s="385">
        <f>'F8'!A21</f>
        <v>9</v>
      </c>
      <c r="V12" s="378">
        <f>'F8'!M21</f>
        <v>6.6666666666666661</v>
      </c>
      <c r="W12" s="5"/>
      <c r="X12" s="376">
        <f>F10_form_validator!A15</f>
        <v>9</v>
      </c>
      <c r="Y12" s="377">
        <f>F10_form_validator!M15</f>
        <v>2.3255813953488373</v>
      </c>
      <c r="Z12" s="376">
        <f t="shared" si="2"/>
        <v>9</v>
      </c>
      <c r="AA12" s="378">
        <f>F11_form_validator!O23</f>
        <v>15</v>
      </c>
      <c r="AB12" s="385">
        <f>F12_form_validator!A16</f>
        <v>9</v>
      </c>
      <c r="AC12" s="378">
        <f>F12_form_validator!N16</f>
        <v>5</v>
      </c>
      <c r="AE12" s="563">
        <f>F10_form_validator!A15</f>
        <v>9</v>
      </c>
      <c r="AF12" s="564">
        <f>F10_form_validator!N15</f>
        <v>2.7131782945736438</v>
      </c>
      <c r="AG12" s="563">
        <f t="shared" si="3"/>
        <v>9</v>
      </c>
      <c r="AH12" s="563">
        <f>F11_form_validator!P23</f>
        <v>17.5</v>
      </c>
      <c r="AI12" s="563">
        <f t="shared" si="4"/>
        <v>9</v>
      </c>
      <c r="AJ12" s="564">
        <f>F12_form_validator!O16</f>
        <v>5.833333333333333</v>
      </c>
    </row>
    <row r="13" spans="1:36" ht="30.75" thickBot="1" x14ac:dyDescent="0.3">
      <c r="A13" s="384">
        <v>10</v>
      </c>
      <c r="B13" s="378">
        <v>1.5503875968992249</v>
      </c>
      <c r="C13" s="102">
        <v>10</v>
      </c>
      <c r="D13" s="378">
        <v>50</v>
      </c>
      <c r="E13" s="385">
        <v>10</v>
      </c>
      <c r="F13" s="378">
        <v>13.468013468013467</v>
      </c>
      <c r="H13" s="835" t="s">
        <v>989</v>
      </c>
      <c r="I13" s="836"/>
      <c r="J13" s="836"/>
      <c r="K13" s="836"/>
      <c r="L13" s="836"/>
      <c r="M13" s="565" t="s">
        <v>990</v>
      </c>
      <c r="N13" s="565" t="s">
        <v>991</v>
      </c>
      <c r="O13" s="566" t="s">
        <v>992</v>
      </c>
      <c r="Q13" s="376">
        <f>'F6'!A22</f>
        <v>10</v>
      </c>
      <c r="R13" s="377">
        <f>'F6'!M22</f>
        <v>1.5503875968992249</v>
      </c>
      <c r="S13" s="102">
        <f t="shared" si="1"/>
        <v>10</v>
      </c>
      <c r="T13" s="380">
        <f>'F7'!M26</f>
        <v>50</v>
      </c>
      <c r="U13" s="385">
        <f>'F8'!A22</f>
        <v>10</v>
      </c>
      <c r="V13" s="378">
        <f>'F8'!M22</f>
        <v>13.468013468013467</v>
      </c>
      <c r="W13" s="5"/>
      <c r="X13" s="376">
        <f>F10_form_validator!A16</f>
        <v>10</v>
      </c>
      <c r="Y13" s="377">
        <f>F10_form_validator!M16</f>
        <v>1.1627906976744187</v>
      </c>
      <c r="Z13" s="376">
        <f t="shared" si="2"/>
        <v>10</v>
      </c>
      <c r="AA13" s="378">
        <f>F11_form_validator!O25</f>
        <v>37.5</v>
      </c>
      <c r="AB13" s="385">
        <f>F12_form_validator!A17</f>
        <v>10</v>
      </c>
      <c r="AC13" s="378">
        <f>F12_form_validator!N17</f>
        <v>10.1010101010101</v>
      </c>
      <c r="AE13" s="563">
        <f>F10_form_validator!A16</f>
        <v>10</v>
      </c>
      <c r="AF13" s="564">
        <f>F10_form_validator!N16</f>
        <v>1.3565891472868219</v>
      </c>
      <c r="AG13" s="563">
        <f t="shared" si="3"/>
        <v>10</v>
      </c>
      <c r="AH13" s="563">
        <f>F11_form_validator!P25</f>
        <v>43.75</v>
      </c>
      <c r="AI13" s="563">
        <f t="shared" si="4"/>
        <v>10</v>
      </c>
      <c r="AJ13" s="564">
        <f>F12_form_validator!O17</f>
        <v>11.784511784511784</v>
      </c>
    </row>
    <row r="14" spans="1:36" x14ac:dyDescent="0.25">
      <c r="A14" s="384">
        <v>11</v>
      </c>
      <c r="B14" s="378">
        <v>1.5503875968992249</v>
      </c>
      <c r="C14" s="102">
        <v>11</v>
      </c>
      <c r="D14" s="378">
        <v>50</v>
      </c>
      <c r="E14" s="385">
        <v>11</v>
      </c>
      <c r="F14" s="378">
        <v>1.3468013468013469</v>
      </c>
      <c r="H14" s="837" t="s">
        <v>993</v>
      </c>
      <c r="I14" s="838"/>
      <c r="J14" s="838"/>
      <c r="K14" s="838"/>
      <c r="L14" s="838"/>
      <c r="M14" s="567">
        <v>0.75</v>
      </c>
      <c r="N14" s="493">
        <f>R79</f>
        <v>399.99999999999977</v>
      </c>
      <c r="O14" s="494">
        <f>M14*N14</f>
        <v>299.99999999999983</v>
      </c>
      <c r="Q14" s="376">
        <f>'F6'!A23</f>
        <v>11</v>
      </c>
      <c r="R14" s="377">
        <f>'F6'!M23</f>
        <v>1.5503875968992249</v>
      </c>
      <c r="S14" s="102">
        <f t="shared" si="1"/>
        <v>11</v>
      </c>
      <c r="T14" s="380">
        <f>'F7'!M27</f>
        <v>50</v>
      </c>
      <c r="U14" s="385">
        <f>'F8'!A23</f>
        <v>11</v>
      </c>
      <c r="V14" s="378">
        <f>'F8'!M23</f>
        <v>1.3468013468013469</v>
      </c>
      <c r="W14" s="5"/>
      <c r="X14" s="376">
        <f>F10_form_validator!A17</f>
        <v>11</v>
      </c>
      <c r="Y14" s="377">
        <f>F10_form_validator!M17</f>
        <v>1.1627906976744187</v>
      </c>
      <c r="Z14" s="376">
        <f t="shared" si="2"/>
        <v>11</v>
      </c>
      <c r="AA14" s="378">
        <f>F11_form_validator!O26</f>
        <v>37.5</v>
      </c>
      <c r="AB14" s="385">
        <f>F12_form_validator!A18</f>
        <v>11</v>
      </c>
      <c r="AC14" s="378">
        <f>F12_form_validator!N18</f>
        <v>1.0101010101010102</v>
      </c>
      <c r="AE14" s="563">
        <f>F10_form_validator!A17</f>
        <v>11</v>
      </c>
      <c r="AF14" s="564">
        <f>F10_form_validator!N17</f>
        <v>1.3565891472868219</v>
      </c>
      <c r="AG14" s="563">
        <f t="shared" si="3"/>
        <v>11</v>
      </c>
      <c r="AH14" s="563">
        <f>F11_form_validator!P26</f>
        <v>43.75</v>
      </c>
      <c r="AI14" s="563">
        <f t="shared" si="4"/>
        <v>11</v>
      </c>
      <c r="AJ14" s="564">
        <f>F12_form_validator!O18</f>
        <v>1.1784511784511786</v>
      </c>
    </row>
    <row r="15" spans="1:36" x14ac:dyDescent="0.25">
      <c r="A15" s="384">
        <v>12</v>
      </c>
      <c r="B15" s="378">
        <v>4.8533872598584429</v>
      </c>
      <c r="C15" s="102"/>
      <c r="D15" s="380"/>
      <c r="E15" s="385">
        <v>12</v>
      </c>
      <c r="F15" s="378">
        <v>2.6936026936026938</v>
      </c>
      <c r="H15" s="839" t="s">
        <v>994</v>
      </c>
      <c r="I15" s="840"/>
      <c r="J15" s="840"/>
      <c r="K15" s="840"/>
      <c r="L15" s="840"/>
      <c r="M15" s="568">
        <v>0.1</v>
      </c>
      <c r="N15" s="497">
        <f>T79</f>
        <v>400</v>
      </c>
      <c r="O15" s="498">
        <f t="shared" ref="O15:O16" si="5">M15*N15</f>
        <v>40</v>
      </c>
      <c r="Q15" s="376">
        <f>'F6'!A24</f>
        <v>12</v>
      </c>
      <c r="R15" s="377">
        <f>'F6'!M24</f>
        <v>4.8533872598584429</v>
      </c>
      <c r="S15" s="102"/>
      <c r="T15" s="380"/>
      <c r="U15" s="385">
        <f>'F8'!A24</f>
        <v>12</v>
      </c>
      <c r="V15" s="378">
        <f>'F8'!M24</f>
        <v>2.6936026936026938</v>
      </c>
      <c r="W15" s="5"/>
      <c r="X15" s="376">
        <f>F10_form_validator!A18</f>
        <v>12</v>
      </c>
      <c r="Y15" s="377">
        <f>F10_form_validator!M18</f>
        <v>3.6400404448938319</v>
      </c>
      <c r="Z15" s="376"/>
      <c r="AA15" s="378"/>
      <c r="AB15" s="385">
        <f>F12_form_validator!A19</f>
        <v>12</v>
      </c>
      <c r="AC15" s="378">
        <f>F12_form_validator!N19</f>
        <v>2.0202020202020203</v>
      </c>
      <c r="AE15" s="563">
        <f>F10_form_validator!A18</f>
        <v>12</v>
      </c>
      <c r="AF15" s="564">
        <f>F10_form_validator!N18</f>
        <v>4.2467138523761374</v>
      </c>
      <c r="AG15" s="563"/>
      <c r="AH15" s="563"/>
      <c r="AI15" s="563">
        <f t="shared" si="4"/>
        <v>12</v>
      </c>
      <c r="AJ15" s="564">
        <f>F12_form_validator!O19</f>
        <v>2.3569023569023573</v>
      </c>
    </row>
    <row r="16" spans="1:36" x14ac:dyDescent="0.25">
      <c r="A16" s="384">
        <v>13</v>
      </c>
      <c r="B16" s="378">
        <v>4.8533872598584429</v>
      </c>
      <c r="C16" s="102"/>
      <c r="D16" s="386"/>
      <c r="E16" s="385">
        <v>13</v>
      </c>
      <c r="F16" s="378">
        <v>13.468013468013467</v>
      </c>
      <c r="H16" s="839" t="s">
        <v>1000</v>
      </c>
      <c r="I16" s="840"/>
      <c r="J16" s="840"/>
      <c r="K16" s="840"/>
      <c r="L16" s="840"/>
      <c r="M16" s="568">
        <v>0.15</v>
      </c>
      <c r="N16" s="497">
        <f>V79</f>
        <v>399.99999999999989</v>
      </c>
      <c r="O16" s="498">
        <f t="shared" si="5"/>
        <v>59.999999999999979</v>
      </c>
      <c r="Q16" s="376">
        <f>'F6'!A25</f>
        <v>13</v>
      </c>
      <c r="R16" s="377">
        <f>'F6'!M25</f>
        <v>4.8533872598584429</v>
      </c>
      <c r="S16" s="102"/>
      <c r="T16" s="199"/>
      <c r="U16" s="385">
        <f>'F8'!A25</f>
        <v>13</v>
      </c>
      <c r="V16" s="378">
        <f>'F8'!M25</f>
        <v>13.468013468013467</v>
      </c>
      <c r="W16" s="5"/>
      <c r="X16" s="376">
        <f>F10_form_validator!A19</f>
        <v>13</v>
      </c>
      <c r="Y16" s="377">
        <f>F10_form_validator!M19</f>
        <v>3.6400404448938319</v>
      </c>
      <c r="Z16" s="376"/>
      <c r="AA16" s="199"/>
      <c r="AB16" s="385">
        <f>F12_form_validator!A20</f>
        <v>13</v>
      </c>
      <c r="AC16" s="378">
        <f>F12_form_validator!N20</f>
        <v>10.1010101010101</v>
      </c>
      <c r="AE16" s="563">
        <f>F10_form_validator!A19</f>
        <v>13</v>
      </c>
      <c r="AF16" s="564">
        <f>F10_form_validator!N19</f>
        <v>4.2467138523761374</v>
      </c>
      <c r="AG16" s="563"/>
      <c r="AH16" s="563"/>
      <c r="AI16" s="563">
        <f t="shared" si="4"/>
        <v>13</v>
      </c>
      <c r="AJ16" s="564">
        <f>F12_form_validator!O20</f>
        <v>11.784511784511784</v>
      </c>
    </row>
    <row r="17" spans="1:36" ht="15.75" thickBot="1" x14ac:dyDescent="0.3">
      <c r="A17" s="384">
        <v>14</v>
      </c>
      <c r="B17" s="378">
        <v>9.7067745197168858</v>
      </c>
      <c r="C17" s="102"/>
      <c r="D17" s="386"/>
      <c r="E17" s="385">
        <v>14</v>
      </c>
      <c r="F17" s="378">
        <v>13.468013468013467</v>
      </c>
      <c r="H17" s="819" t="s">
        <v>995</v>
      </c>
      <c r="I17" s="820"/>
      <c r="J17" s="820"/>
      <c r="K17" s="820"/>
      <c r="L17" s="820"/>
      <c r="M17" s="820"/>
      <c r="N17" s="820"/>
      <c r="O17" s="569">
        <f>SUM(O14:O16)</f>
        <v>399.99999999999983</v>
      </c>
      <c r="Q17" s="376">
        <f>'F6'!A26</f>
        <v>14</v>
      </c>
      <c r="R17" s="377">
        <f>'F6'!M26</f>
        <v>9.7067745197168858</v>
      </c>
      <c r="S17" s="102"/>
      <c r="T17" s="199"/>
      <c r="U17" s="385">
        <f>'F8'!A26</f>
        <v>14</v>
      </c>
      <c r="V17" s="378">
        <f>'F8'!M26</f>
        <v>13.468013468013467</v>
      </c>
      <c r="W17" s="5"/>
      <c r="X17" s="376">
        <f>F10_form_validator!A20</f>
        <v>14</v>
      </c>
      <c r="Y17" s="377">
        <f>F10_form_validator!M20</f>
        <v>7.2800808897876639</v>
      </c>
      <c r="Z17" s="376"/>
      <c r="AA17" s="199"/>
      <c r="AB17" s="385">
        <f>F12_form_validator!A21</f>
        <v>14</v>
      </c>
      <c r="AC17" s="378">
        <f>F12_form_validator!N21</f>
        <v>10.1010101010101</v>
      </c>
      <c r="AE17" s="563">
        <f>F10_form_validator!A20</f>
        <v>14</v>
      </c>
      <c r="AF17" s="564">
        <f>F10_form_validator!N20</f>
        <v>8.4934277047522748</v>
      </c>
      <c r="AG17" s="563"/>
      <c r="AH17" s="563"/>
      <c r="AI17" s="563">
        <f t="shared" si="4"/>
        <v>14</v>
      </c>
      <c r="AJ17" s="564">
        <f>F12_form_validator!O21</f>
        <v>11.784511784511784</v>
      </c>
    </row>
    <row r="18" spans="1:36" ht="15.75" customHeight="1" thickBot="1" x14ac:dyDescent="0.3">
      <c r="A18" s="384">
        <v>15</v>
      </c>
      <c r="B18" s="378">
        <v>4.8533872598584429</v>
      </c>
      <c r="C18" s="102"/>
      <c r="D18" s="380"/>
      <c r="E18" s="385">
        <v>15</v>
      </c>
      <c r="F18" s="378">
        <v>20.915032679738562</v>
      </c>
      <c r="H18" s="843" t="s">
        <v>996</v>
      </c>
      <c r="I18" s="844"/>
      <c r="J18" s="844"/>
      <c r="K18" s="844"/>
      <c r="L18" s="844"/>
      <c r="M18" s="845" t="str">
        <f>IF(O17&lt;200,"TIDAK TERAKREDITASI",IF(O17&lt;=300,"C",IF(O17&lt;361,"B","A")))</f>
        <v>A</v>
      </c>
      <c r="N18" s="845"/>
      <c r="O18" s="846"/>
      <c r="Q18" s="376">
        <f>'F6'!A27</f>
        <v>15</v>
      </c>
      <c r="R18" s="377">
        <f>'F6'!M27</f>
        <v>4.8533872598584429</v>
      </c>
      <c r="S18" s="102"/>
      <c r="T18" s="380"/>
      <c r="U18" s="385">
        <f>'F8'!A27</f>
        <v>15</v>
      </c>
      <c r="V18" s="378">
        <f>'F8'!M27</f>
        <v>20.915032679738562</v>
      </c>
      <c r="W18" s="5"/>
      <c r="X18" s="376">
        <f>F10_form_validator!A21</f>
        <v>15</v>
      </c>
      <c r="Y18" s="377">
        <f>F10_form_validator!M21</f>
        <v>3.6400404448938319</v>
      </c>
      <c r="Z18" s="376"/>
      <c r="AA18" s="380"/>
      <c r="AB18" s="385">
        <f>F12_form_validator!A22</f>
        <v>15</v>
      </c>
      <c r="AC18" s="378">
        <f>F12_form_validator!N22</f>
        <v>15.686274509803923</v>
      </c>
      <c r="AE18" s="563">
        <f>F10_form_validator!A21</f>
        <v>15</v>
      </c>
      <c r="AF18" s="564">
        <f>F10_form_validator!N21</f>
        <v>4.2467138523761374</v>
      </c>
      <c r="AG18" s="563"/>
      <c r="AH18" s="563"/>
      <c r="AI18" s="563">
        <f t="shared" si="4"/>
        <v>15</v>
      </c>
      <c r="AJ18" s="564">
        <f>F12_form_validator!O22</f>
        <v>18.300653594771241</v>
      </c>
    </row>
    <row r="19" spans="1:36" x14ac:dyDescent="0.25">
      <c r="A19" s="384">
        <v>16</v>
      </c>
      <c r="B19" s="378">
        <v>2.4266936299292214</v>
      </c>
      <c r="C19" s="102"/>
      <c r="D19" s="380"/>
      <c r="E19" s="385">
        <v>16</v>
      </c>
      <c r="F19" s="378">
        <v>10.457516339869281</v>
      </c>
      <c r="H19" s="15"/>
      <c r="I19" s="15"/>
      <c r="J19" s="15"/>
      <c r="K19" s="15"/>
      <c r="Q19" s="376">
        <f>'F6'!A28</f>
        <v>16</v>
      </c>
      <c r="R19" s="377">
        <f>'F6'!M28</f>
        <v>2.4266936299292214</v>
      </c>
      <c r="S19" s="102"/>
      <c r="T19" s="380"/>
      <c r="U19" s="385">
        <f>'F8'!A28</f>
        <v>16</v>
      </c>
      <c r="V19" s="378">
        <f>'F8'!M28</f>
        <v>10.457516339869281</v>
      </c>
      <c r="W19" s="5"/>
      <c r="X19" s="376">
        <f>F10_form_validator!A22</f>
        <v>16</v>
      </c>
      <c r="Y19" s="377">
        <f>F10_form_validator!M22</f>
        <v>1.820020222446916</v>
      </c>
      <c r="Z19" s="376"/>
      <c r="AA19" s="378"/>
      <c r="AB19" s="385">
        <f>F12_form_validator!A23</f>
        <v>16</v>
      </c>
      <c r="AC19" s="378">
        <f>F12_form_validator!N23</f>
        <v>7.8431372549019613</v>
      </c>
      <c r="AE19" s="563">
        <f>F10_form_validator!A22</f>
        <v>16</v>
      </c>
      <c r="AF19" s="564">
        <f>F10_form_validator!N22</f>
        <v>2.1233569261880687</v>
      </c>
      <c r="AG19" s="563"/>
      <c r="AH19" s="563"/>
      <c r="AI19" s="563">
        <f t="shared" si="4"/>
        <v>16</v>
      </c>
      <c r="AJ19" s="564">
        <f>F12_form_validator!O23</f>
        <v>9.1503267973856204</v>
      </c>
    </row>
    <row r="20" spans="1:36" x14ac:dyDescent="0.25">
      <c r="A20" s="384">
        <v>17</v>
      </c>
      <c r="B20" s="378">
        <v>9.7067745197168858</v>
      </c>
      <c r="C20" s="102"/>
      <c r="D20" s="103"/>
      <c r="E20" s="385">
        <v>17</v>
      </c>
      <c r="F20" s="378">
        <v>10.457516339869281</v>
      </c>
      <c r="H20" s="15"/>
      <c r="I20" s="15"/>
      <c r="J20" s="15"/>
      <c r="K20" s="15"/>
      <c r="Q20" s="376">
        <f>'F6'!A29</f>
        <v>17</v>
      </c>
      <c r="R20" s="377">
        <f>'F6'!M29</f>
        <v>9.7067745197168858</v>
      </c>
      <c r="S20" s="102"/>
      <c r="T20" s="380"/>
      <c r="U20" s="385">
        <f>'F8'!A29</f>
        <v>17</v>
      </c>
      <c r="V20" s="378">
        <f>'F8'!M29</f>
        <v>10.457516339869281</v>
      </c>
      <c r="W20" s="5"/>
      <c r="X20" s="376">
        <f>F10_form_validator!A23</f>
        <v>17</v>
      </c>
      <c r="Y20" s="377">
        <f>F10_form_validator!M23</f>
        <v>7.2800808897876639</v>
      </c>
      <c r="Z20" s="102"/>
      <c r="AA20" s="380"/>
      <c r="AB20" s="385">
        <f>F12_form_validator!A24</f>
        <v>17</v>
      </c>
      <c r="AC20" s="378">
        <f>F12_form_validator!N24</f>
        <v>7.8431372549019613</v>
      </c>
      <c r="AE20" s="563">
        <f>F10_form_validator!A23</f>
        <v>17</v>
      </c>
      <c r="AF20" s="564">
        <f>F10_form_validator!N23</f>
        <v>8.4934277047522748</v>
      </c>
      <c r="AG20" s="563"/>
      <c r="AH20" s="563"/>
      <c r="AI20" s="563">
        <f t="shared" si="4"/>
        <v>17</v>
      </c>
      <c r="AJ20" s="564">
        <f>F12_form_validator!O24</f>
        <v>9.1503267973856204</v>
      </c>
    </row>
    <row r="21" spans="1:36" ht="14.25" customHeight="1" thickBot="1" x14ac:dyDescent="0.3">
      <c r="A21" s="384">
        <v>18</v>
      </c>
      <c r="B21" s="378">
        <v>14.560161779575328</v>
      </c>
      <c r="C21" s="102"/>
      <c r="D21" s="103"/>
      <c r="E21" s="385">
        <v>18</v>
      </c>
      <c r="F21" s="378">
        <v>10.457516339869281</v>
      </c>
      <c r="H21" s="15"/>
      <c r="I21" s="15"/>
      <c r="J21" s="15"/>
      <c r="K21" s="15"/>
      <c r="Q21" s="376">
        <f>'F6'!A30</f>
        <v>18</v>
      </c>
      <c r="R21" s="377">
        <f>'F6'!M30</f>
        <v>14.560161779575328</v>
      </c>
      <c r="S21" s="102"/>
      <c r="T21" s="380"/>
      <c r="U21" s="385">
        <f>'F8'!A30</f>
        <v>18</v>
      </c>
      <c r="V21" s="378">
        <f>'F8'!M30</f>
        <v>10.457516339869281</v>
      </c>
      <c r="W21" s="5"/>
      <c r="X21" s="376">
        <f>F10_form_validator!A24</f>
        <v>18</v>
      </c>
      <c r="Y21" s="377">
        <f>F10_form_validator!M24</f>
        <v>10.920121334681497</v>
      </c>
      <c r="Z21" s="102"/>
      <c r="AA21" s="380"/>
      <c r="AB21" s="385">
        <f>F12_form_validator!A25</f>
        <v>18</v>
      </c>
      <c r="AC21" s="378">
        <f>F12_form_validator!N25</f>
        <v>7.8431372549019613</v>
      </c>
      <c r="AE21" s="563">
        <f>F10_form_validator!A24</f>
        <v>18</v>
      </c>
      <c r="AF21" s="564">
        <f>F10_form_validator!N24</f>
        <v>12.740141557128412</v>
      </c>
      <c r="AG21" s="563"/>
      <c r="AH21" s="563"/>
      <c r="AI21" s="563">
        <f t="shared" si="4"/>
        <v>18</v>
      </c>
      <c r="AJ21" s="564">
        <f>F12_form_validator!O25</f>
        <v>9.1503267973856204</v>
      </c>
    </row>
    <row r="22" spans="1:36" ht="31.5" customHeight="1" thickBot="1" x14ac:dyDescent="0.3">
      <c r="A22" s="384">
        <v>19</v>
      </c>
      <c r="B22" s="378">
        <v>2.4266936299292214</v>
      </c>
      <c r="C22" s="102"/>
      <c r="D22" s="103"/>
      <c r="E22" s="385">
        <v>19</v>
      </c>
      <c r="F22" s="378">
        <v>10.457516339869281</v>
      </c>
      <c r="H22" s="847" t="s">
        <v>999</v>
      </c>
      <c r="I22" s="848"/>
      <c r="J22" s="848"/>
      <c r="K22" s="848"/>
      <c r="L22" s="848"/>
      <c r="M22" s="848"/>
      <c r="N22" s="848"/>
      <c r="O22" s="849"/>
      <c r="Q22" s="376">
        <f>'F6'!A31</f>
        <v>19</v>
      </c>
      <c r="R22" s="377">
        <f>'F6'!M31</f>
        <v>2.4266936299292214</v>
      </c>
      <c r="S22" s="102"/>
      <c r="T22" s="103"/>
      <c r="U22" s="385">
        <f>'F8'!A31</f>
        <v>19</v>
      </c>
      <c r="V22" s="378">
        <f>'F8'!M31</f>
        <v>10.457516339869281</v>
      </c>
      <c r="W22" s="5"/>
      <c r="X22" s="376">
        <f>F10_form_validator!A25</f>
        <v>19</v>
      </c>
      <c r="Y22" s="377">
        <f>F10_form_validator!M25</f>
        <v>1.820020222446916</v>
      </c>
      <c r="Z22" s="102"/>
      <c r="AA22" s="103"/>
      <c r="AB22" s="385">
        <f>F12_form_validator!A26</f>
        <v>19</v>
      </c>
      <c r="AC22" s="378">
        <f>F12_form_validator!N26</f>
        <v>7.8431372549019613</v>
      </c>
      <c r="AE22" s="563">
        <f>F10_form_validator!A25</f>
        <v>19</v>
      </c>
      <c r="AF22" s="564">
        <f>F10_form_validator!N25</f>
        <v>2.1233569261880687</v>
      </c>
      <c r="AG22" s="563"/>
      <c r="AH22" s="563"/>
      <c r="AI22" s="563">
        <f t="shared" si="4"/>
        <v>19</v>
      </c>
      <c r="AJ22" s="564">
        <f>F12_form_validator!O26</f>
        <v>9.1503267973856204</v>
      </c>
    </row>
    <row r="23" spans="1:36" ht="30.75" thickBot="1" x14ac:dyDescent="0.3">
      <c r="A23" s="384">
        <v>20</v>
      </c>
      <c r="B23" s="378">
        <v>2.4266936299292214</v>
      </c>
      <c r="C23" s="102"/>
      <c r="D23" s="103"/>
      <c r="E23" s="385">
        <v>20</v>
      </c>
      <c r="F23" s="378">
        <v>5.2287581699346406</v>
      </c>
      <c r="H23" s="850" t="s">
        <v>989</v>
      </c>
      <c r="I23" s="851"/>
      <c r="J23" s="851"/>
      <c r="K23" s="851"/>
      <c r="L23" s="851"/>
      <c r="M23" s="570" t="s">
        <v>990</v>
      </c>
      <c r="N23" s="570" t="s">
        <v>991</v>
      </c>
      <c r="O23" s="571" t="s">
        <v>992</v>
      </c>
      <c r="Q23" s="376">
        <f>'F6'!A32</f>
        <v>20</v>
      </c>
      <c r="R23" s="377">
        <f>'F6'!M32</f>
        <v>2.4266936299292214</v>
      </c>
      <c r="S23" s="102"/>
      <c r="T23" s="103"/>
      <c r="U23" s="385">
        <f>'F8'!A32</f>
        <v>20</v>
      </c>
      <c r="V23" s="378">
        <f>'F8'!M32</f>
        <v>5.2287581699346406</v>
      </c>
      <c r="W23" s="5"/>
      <c r="X23" s="376">
        <f>F10_form_validator!A26</f>
        <v>20</v>
      </c>
      <c r="Y23" s="377">
        <f>F10_form_validator!M26</f>
        <v>1.820020222446916</v>
      </c>
      <c r="Z23" s="102"/>
      <c r="AA23" s="103"/>
      <c r="AB23" s="385">
        <f>F12_form_validator!A27</f>
        <v>20</v>
      </c>
      <c r="AC23" s="378">
        <f>F12_form_validator!N27</f>
        <v>3.9215686274509807</v>
      </c>
      <c r="AE23" s="563">
        <f>F10_form_validator!A26</f>
        <v>20</v>
      </c>
      <c r="AF23" s="564">
        <f>F10_form_validator!N26</f>
        <v>2.1233569261880687</v>
      </c>
      <c r="AG23" s="563"/>
      <c r="AH23" s="563"/>
      <c r="AI23" s="563">
        <f t="shared" si="4"/>
        <v>20</v>
      </c>
      <c r="AJ23" s="564">
        <f>F12_form_validator!O27</f>
        <v>4.5751633986928102</v>
      </c>
    </row>
    <row r="24" spans="1:36" x14ac:dyDescent="0.25">
      <c r="A24" s="384">
        <v>21</v>
      </c>
      <c r="B24" s="378">
        <v>4.6511627906976747</v>
      </c>
      <c r="C24" s="102"/>
      <c r="D24" s="103"/>
      <c r="E24" s="385">
        <v>21</v>
      </c>
      <c r="F24" s="378">
        <v>10.457516339869281</v>
      </c>
      <c r="H24" s="852" t="s">
        <v>993</v>
      </c>
      <c r="I24" s="853"/>
      <c r="J24" s="853"/>
      <c r="K24" s="853"/>
      <c r="L24" s="853"/>
      <c r="M24" s="572">
        <v>0.75</v>
      </c>
      <c r="N24" s="554">
        <f>Y79</f>
        <v>300</v>
      </c>
      <c r="O24" s="573">
        <f>M24*N24</f>
        <v>225</v>
      </c>
      <c r="Q24" s="376">
        <f>'F6'!A33</f>
        <v>21</v>
      </c>
      <c r="R24" s="377">
        <f>'F6'!M33</f>
        <v>4.6511627906976747</v>
      </c>
      <c r="S24" s="102"/>
      <c r="T24" s="103"/>
      <c r="U24" s="385">
        <f>'F8'!A33</f>
        <v>21</v>
      </c>
      <c r="V24" s="378">
        <f>'F8'!M33</f>
        <v>10.457516339869281</v>
      </c>
      <c r="W24" s="5"/>
      <c r="X24" s="376">
        <f>F10_form_validator!A27</f>
        <v>21</v>
      </c>
      <c r="Y24" s="377">
        <f>F10_form_validator!M27</f>
        <v>3.4883720930232558</v>
      </c>
      <c r="Z24" s="102"/>
      <c r="AA24" s="103"/>
      <c r="AB24" s="385">
        <f>F12_form_validator!A28</f>
        <v>21</v>
      </c>
      <c r="AC24" s="378">
        <f>F12_form_validator!N28</f>
        <v>7.8431372549019613</v>
      </c>
      <c r="AE24" s="563">
        <f>F10_form_validator!A27</f>
        <v>21</v>
      </c>
      <c r="AF24" s="564">
        <f>F10_form_validator!N27</f>
        <v>4.0697674418604652</v>
      </c>
      <c r="AG24" s="563"/>
      <c r="AH24" s="563"/>
      <c r="AI24" s="563">
        <f t="shared" si="4"/>
        <v>21</v>
      </c>
      <c r="AJ24" s="564">
        <f>F12_form_validator!O28</f>
        <v>9.1503267973856204</v>
      </c>
    </row>
    <row r="25" spans="1:36" x14ac:dyDescent="0.25">
      <c r="A25" s="384">
        <v>22</v>
      </c>
      <c r="B25" s="378">
        <v>4.6511627906976747</v>
      </c>
      <c r="C25" s="102"/>
      <c r="D25" s="103"/>
      <c r="E25" s="385">
        <v>22</v>
      </c>
      <c r="F25" s="378">
        <v>10.457516339869281</v>
      </c>
      <c r="H25" s="854" t="s">
        <v>994</v>
      </c>
      <c r="I25" s="855"/>
      <c r="J25" s="855"/>
      <c r="K25" s="855"/>
      <c r="L25" s="855"/>
      <c r="M25" s="574">
        <v>0.1</v>
      </c>
      <c r="N25" s="505">
        <f>AA79</f>
        <v>300</v>
      </c>
      <c r="O25" s="506">
        <f t="shared" ref="O25:O26" si="6">M25*N25</f>
        <v>30</v>
      </c>
      <c r="Q25" s="376">
        <f>'F6'!A34</f>
        <v>22</v>
      </c>
      <c r="R25" s="377">
        <f>'F6'!M34</f>
        <v>4.6511627906976747</v>
      </c>
      <c r="S25" s="102"/>
      <c r="T25" s="103"/>
      <c r="U25" s="385">
        <f>'F8'!A34</f>
        <v>22</v>
      </c>
      <c r="V25" s="378">
        <f>'F8'!M34</f>
        <v>10.457516339869281</v>
      </c>
      <c r="W25" s="5"/>
      <c r="X25" s="376">
        <f>F10_form_validator!A28</f>
        <v>22</v>
      </c>
      <c r="Y25" s="377">
        <f>F10_form_validator!M28</f>
        <v>3.4883720930232558</v>
      </c>
      <c r="Z25" s="102"/>
      <c r="AA25" s="103"/>
      <c r="AB25" s="385">
        <f>F12_form_validator!A29</f>
        <v>22</v>
      </c>
      <c r="AC25" s="378">
        <f>F12_form_validator!N29</f>
        <v>7.8431372549019613</v>
      </c>
      <c r="AE25" s="563">
        <f>F10_form_validator!A28</f>
        <v>22</v>
      </c>
      <c r="AF25" s="564">
        <f>F10_form_validator!N28</f>
        <v>4.0697674418604652</v>
      </c>
      <c r="AG25" s="563"/>
      <c r="AH25" s="563"/>
      <c r="AI25" s="563">
        <f t="shared" si="4"/>
        <v>22</v>
      </c>
      <c r="AJ25" s="564">
        <f>F12_form_validator!O29</f>
        <v>9.1503267973856204</v>
      </c>
    </row>
    <row r="26" spans="1:36" x14ac:dyDescent="0.25">
      <c r="A26" s="384">
        <v>23</v>
      </c>
      <c r="B26" s="378">
        <v>13.953488372093021</v>
      </c>
      <c r="C26" s="102"/>
      <c r="D26" s="103"/>
      <c r="E26" s="385">
        <v>23</v>
      </c>
      <c r="F26" s="378">
        <v>7.4074074074074066</v>
      </c>
      <c r="H26" s="854" t="s">
        <v>1001</v>
      </c>
      <c r="I26" s="855"/>
      <c r="J26" s="855"/>
      <c r="K26" s="855"/>
      <c r="L26" s="855"/>
      <c r="M26" s="574">
        <v>0.15</v>
      </c>
      <c r="N26" s="505">
        <f>AC79</f>
        <v>299.99999999999994</v>
      </c>
      <c r="O26" s="506">
        <f t="shared" si="6"/>
        <v>44.999999999999993</v>
      </c>
      <c r="Q26" s="376">
        <f>'F6'!A35</f>
        <v>23</v>
      </c>
      <c r="R26" s="377">
        <f>'F6'!M35</f>
        <v>13.953488372093021</v>
      </c>
      <c r="S26" s="102"/>
      <c r="T26" s="103"/>
      <c r="U26" s="385">
        <f>'F8'!A35</f>
        <v>23</v>
      </c>
      <c r="V26" s="378">
        <f>'F8'!M35</f>
        <v>7.4074074074074066</v>
      </c>
      <c r="W26" s="5"/>
      <c r="X26" s="376">
        <f>F10_form_validator!A29</f>
        <v>23</v>
      </c>
      <c r="Y26" s="377">
        <f>F10_form_validator!M29</f>
        <v>10.465116279069766</v>
      </c>
      <c r="Z26" s="102"/>
      <c r="AA26" s="103"/>
      <c r="AB26" s="385">
        <f>F12_form_validator!A30</f>
        <v>23</v>
      </c>
      <c r="AC26" s="378">
        <f>F12_form_validator!N30</f>
        <v>5.5555555555555554</v>
      </c>
      <c r="AE26" s="563">
        <f>F10_form_validator!A29</f>
        <v>23</v>
      </c>
      <c r="AF26" s="564">
        <f>F10_form_validator!N29</f>
        <v>12.209302325581394</v>
      </c>
      <c r="AG26" s="563"/>
      <c r="AH26" s="563"/>
      <c r="AI26" s="563">
        <f t="shared" si="4"/>
        <v>23</v>
      </c>
      <c r="AJ26" s="564">
        <f>F12_form_validator!O30</f>
        <v>6.481481481481481</v>
      </c>
    </row>
    <row r="27" spans="1:36" ht="15.75" thickBot="1" x14ac:dyDescent="0.3">
      <c r="A27" s="384">
        <v>24</v>
      </c>
      <c r="B27" s="378">
        <v>9.3023255813953494</v>
      </c>
      <c r="C27" s="102"/>
      <c r="D27" s="103"/>
      <c r="E27" s="385">
        <v>24</v>
      </c>
      <c r="F27" s="378">
        <v>7.4074074074074066</v>
      </c>
      <c r="H27" s="856" t="s">
        <v>995</v>
      </c>
      <c r="I27" s="857"/>
      <c r="J27" s="857"/>
      <c r="K27" s="857"/>
      <c r="L27" s="857"/>
      <c r="M27" s="857"/>
      <c r="N27" s="857"/>
      <c r="O27" s="575">
        <f>SUM(O24:O26)</f>
        <v>300</v>
      </c>
      <c r="Q27" s="376">
        <f>'F6'!A36</f>
        <v>24</v>
      </c>
      <c r="R27" s="377">
        <f>'F6'!M36</f>
        <v>9.3023255813953494</v>
      </c>
      <c r="S27" s="102"/>
      <c r="T27" s="103"/>
      <c r="U27" s="385">
        <f>'F8'!A36</f>
        <v>24</v>
      </c>
      <c r="V27" s="378">
        <f>'F8'!M36</f>
        <v>7.4074074074074066</v>
      </c>
      <c r="W27" s="5"/>
      <c r="X27" s="376">
        <f>F10_form_validator!A30</f>
        <v>24</v>
      </c>
      <c r="Y27" s="377">
        <f>F10_form_validator!M30</f>
        <v>6.9767441860465116</v>
      </c>
      <c r="Z27" s="102"/>
      <c r="AA27" s="103"/>
      <c r="AB27" s="385">
        <f>F12_form_validator!A31</f>
        <v>24</v>
      </c>
      <c r="AC27" s="378">
        <f>F12_form_validator!N31</f>
        <v>5.5555555555555554</v>
      </c>
      <c r="AE27" s="563">
        <f>F10_form_validator!A30</f>
        <v>24</v>
      </c>
      <c r="AF27" s="564">
        <f>F10_form_validator!N30</f>
        <v>8.1395348837209305</v>
      </c>
      <c r="AG27" s="563"/>
      <c r="AH27" s="563"/>
      <c r="AI27" s="563">
        <f t="shared" si="4"/>
        <v>24</v>
      </c>
      <c r="AJ27" s="564">
        <f>F12_form_validator!O31</f>
        <v>6.481481481481481</v>
      </c>
    </row>
    <row r="28" spans="1:36" ht="15.75" thickBot="1" x14ac:dyDescent="0.3">
      <c r="A28" s="384">
        <v>25</v>
      </c>
      <c r="B28" s="378">
        <v>4.6511627906976747</v>
      </c>
      <c r="C28" s="102"/>
      <c r="D28" s="103"/>
      <c r="E28" s="385">
        <v>25</v>
      </c>
      <c r="F28" s="378">
        <v>7.4074074074074066</v>
      </c>
      <c r="H28" s="858" t="s">
        <v>996</v>
      </c>
      <c r="I28" s="859"/>
      <c r="J28" s="859"/>
      <c r="K28" s="859"/>
      <c r="L28" s="859"/>
      <c r="M28" s="860" t="str">
        <f>IF(O27&lt;200,"TIDAK TERAKREDITASI",IF(O27&lt;=300,"C",IF(O27&lt;361,"B","A")))</f>
        <v>C</v>
      </c>
      <c r="N28" s="860"/>
      <c r="O28" s="861"/>
      <c r="Q28" s="376">
        <f>'F6'!A37</f>
        <v>25</v>
      </c>
      <c r="R28" s="377">
        <f>'F6'!M37</f>
        <v>4.6511627906976747</v>
      </c>
      <c r="S28" s="102"/>
      <c r="T28" s="103"/>
      <c r="U28" s="385">
        <f>'F8'!A37</f>
        <v>25</v>
      </c>
      <c r="V28" s="378">
        <f>'F8'!M37</f>
        <v>7.4074074074074066</v>
      </c>
      <c r="W28" s="5"/>
      <c r="X28" s="376">
        <f>F10_form_validator!A31</f>
        <v>25</v>
      </c>
      <c r="Y28" s="377">
        <f>F10_form_validator!M31</f>
        <v>3.4883720930232558</v>
      </c>
      <c r="Z28" s="102"/>
      <c r="AA28" s="103"/>
      <c r="AB28" s="385">
        <f>F12_form_validator!A32</f>
        <v>25</v>
      </c>
      <c r="AC28" s="378">
        <f>F12_form_validator!N32</f>
        <v>5.5555555555555554</v>
      </c>
      <c r="AE28" s="563">
        <f>F10_form_validator!A31</f>
        <v>25</v>
      </c>
      <c r="AF28" s="564">
        <f>F10_form_validator!N31</f>
        <v>4.0697674418604652</v>
      </c>
      <c r="AG28" s="563"/>
      <c r="AH28" s="563"/>
      <c r="AI28" s="563">
        <f t="shared" si="4"/>
        <v>25</v>
      </c>
      <c r="AJ28" s="564">
        <f>F12_form_validator!O32</f>
        <v>6.481481481481481</v>
      </c>
    </row>
    <row r="29" spans="1:36" x14ac:dyDescent="0.25">
      <c r="A29" s="384">
        <v>26</v>
      </c>
      <c r="B29" s="378">
        <v>13.953488372093021</v>
      </c>
      <c r="C29" s="102"/>
      <c r="D29" s="103"/>
      <c r="E29" s="385">
        <v>26</v>
      </c>
      <c r="F29" s="378">
        <v>5.9259259259259256</v>
      </c>
      <c r="H29" s="15"/>
      <c r="I29" s="15"/>
      <c r="J29" s="15"/>
      <c r="K29" s="15"/>
      <c r="Q29" s="376">
        <f>'F6'!A38</f>
        <v>26</v>
      </c>
      <c r="R29" s="377">
        <f>'F6'!M38</f>
        <v>13.953488372093021</v>
      </c>
      <c r="S29" s="102"/>
      <c r="T29" s="103"/>
      <c r="U29" s="385">
        <f>'F8'!A38</f>
        <v>26</v>
      </c>
      <c r="V29" s="378">
        <f>'F8'!M38</f>
        <v>5.9259259259259256</v>
      </c>
      <c r="W29" s="5"/>
      <c r="X29" s="376">
        <f>F10_form_validator!A32</f>
        <v>26</v>
      </c>
      <c r="Y29" s="377">
        <f>F10_form_validator!M32</f>
        <v>10.465116279069766</v>
      </c>
      <c r="Z29" s="102"/>
      <c r="AA29" s="103"/>
      <c r="AB29" s="385">
        <f>F12_form_validator!A33</f>
        <v>26</v>
      </c>
      <c r="AC29" s="378">
        <f>F12_form_validator!N33</f>
        <v>4.4444444444444446</v>
      </c>
      <c r="AE29" s="563">
        <f>F10_form_validator!A32</f>
        <v>26</v>
      </c>
      <c r="AF29" s="564">
        <f>F10_form_validator!N32</f>
        <v>12.209302325581394</v>
      </c>
      <c r="AG29" s="563"/>
      <c r="AH29" s="563"/>
      <c r="AI29" s="563">
        <f t="shared" si="4"/>
        <v>26</v>
      </c>
      <c r="AJ29" s="564">
        <f>F12_form_validator!O33</f>
        <v>5.1851851851851851</v>
      </c>
    </row>
    <row r="30" spans="1:36" x14ac:dyDescent="0.25">
      <c r="A30" s="384">
        <v>27</v>
      </c>
      <c r="B30" s="378">
        <v>9.3023255813953494</v>
      </c>
      <c r="C30" s="102"/>
      <c r="D30" s="103"/>
      <c r="E30" s="385">
        <v>27</v>
      </c>
      <c r="F30" s="378">
        <v>5.9259259259259256</v>
      </c>
      <c r="H30" s="15"/>
      <c r="I30" s="15"/>
      <c r="J30" s="15"/>
      <c r="K30" s="15"/>
      <c r="Q30" s="376">
        <f>'F6'!A39</f>
        <v>27</v>
      </c>
      <c r="R30" s="377">
        <f>'F6'!M39</f>
        <v>9.3023255813953494</v>
      </c>
      <c r="S30" s="102"/>
      <c r="T30" s="103"/>
      <c r="U30" s="385">
        <f>'F8'!A39</f>
        <v>27</v>
      </c>
      <c r="V30" s="378">
        <f>'F8'!M39</f>
        <v>5.9259259259259256</v>
      </c>
      <c r="W30" s="5"/>
      <c r="X30" s="376">
        <f>F10_form_validator!A33</f>
        <v>27</v>
      </c>
      <c r="Y30" s="377">
        <f>F10_form_validator!M33</f>
        <v>6.9767441860465116</v>
      </c>
      <c r="Z30" s="102"/>
      <c r="AA30" s="103"/>
      <c r="AB30" s="385">
        <f>F12_form_validator!A34</f>
        <v>27</v>
      </c>
      <c r="AC30" s="378">
        <f>F12_form_validator!N34</f>
        <v>4.4444444444444446</v>
      </c>
      <c r="AE30" s="563">
        <f>F10_form_validator!A33</f>
        <v>27</v>
      </c>
      <c r="AF30" s="564">
        <f>F10_form_validator!N33</f>
        <v>8.1395348837209305</v>
      </c>
      <c r="AG30" s="563"/>
      <c r="AH30" s="563"/>
      <c r="AI30" s="563">
        <f t="shared" si="4"/>
        <v>27</v>
      </c>
      <c r="AJ30" s="564">
        <f>F12_form_validator!O34</f>
        <v>5.1851851851851851</v>
      </c>
    </row>
    <row r="31" spans="1:36" ht="15.75" thickBot="1" x14ac:dyDescent="0.3">
      <c r="A31" s="384">
        <v>28</v>
      </c>
      <c r="B31" s="378">
        <v>4.6511627906976747</v>
      </c>
      <c r="C31" s="102"/>
      <c r="D31" s="103"/>
      <c r="E31" s="385">
        <v>28</v>
      </c>
      <c r="F31" s="378">
        <v>5.9259259259259256</v>
      </c>
      <c r="H31" s="15"/>
      <c r="I31" s="15"/>
      <c r="J31" s="15"/>
      <c r="K31" s="15"/>
      <c r="Q31" s="376">
        <f>'F6'!A40</f>
        <v>28</v>
      </c>
      <c r="R31" s="377">
        <f>'F6'!M40</f>
        <v>4.6511627906976747</v>
      </c>
      <c r="S31" s="102"/>
      <c r="T31" s="103"/>
      <c r="U31" s="385">
        <f>'F8'!A40</f>
        <v>28</v>
      </c>
      <c r="V31" s="378">
        <f>'F8'!M40</f>
        <v>5.9259259259259256</v>
      </c>
      <c r="W31" s="5"/>
      <c r="X31" s="376">
        <f>F10_form_validator!A34</f>
        <v>28</v>
      </c>
      <c r="Y31" s="377">
        <f>F10_form_validator!M34</f>
        <v>3.4883720930232558</v>
      </c>
      <c r="Z31" s="102"/>
      <c r="AA31" s="103"/>
      <c r="AB31" s="385">
        <f>F12_form_validator!A35</f>
        <v>28</v>
      </c>
      <c r="AC31" s="378">
        <f>F12_form_validator!N35</f>
        <v>4.4444444444444446</v>
      </c>
      <c r="AE31" s="563">
        <f>F10_form_validator!A34</f>
        <v>28</v>
      </c>
      <c r="AF31" s="564">
        <f>F10_form_validator!N34</f>
        <v>4.0697674418604652</v>
      </c>
      <c r="AG31" s="563"/>
      <c r="AH31" s="563"/>
      <c r="AI31" s="563">
        <f t="shared" si="4"/>
        <v>28</v>
      </c>
      <c r="AJ31" s="564">
        <f>F12_form_validator!O35</f>
        <v>5.1851851851851851</v>
      </c>
    </row>
    <row r="32" spans="1:36" ht="33.75" customHeight="1" thickBot="1" x14ac:dyDescent="0.3">
      <c r="A32" s="384">
        <v>29</v>
      </c>
      <c r="B32" s="378">
        <v>4.6511627906976747</v>
      </c>
      <c r="C32" s="102"/>
      <c r="D32" s="103"/>
      <c r="E32" s="385">
        <v>29</v>
      </c>
      <c r="F32" s="378">
        <v>11.851851851851851</v>
      </c>
      <c r="H32" s="862" t="s">
        <v>1094</v>
      </c>
      <c r="I32" s="863"/>
      <c r="J32" s="863"/>
      <c r="K32" s="863"/>
      <c r="L32" s="863"/>
      <c r="M32" s="863"/>
      <c r="N32" s="863"/>
      <c r="O32" s="864"/>
      <c r="Q32" s="376">
        <f>'F6'!A41</f>
        <v>29</v>
      </c>
      <c r="R32" s="377">
        <f>'F6'!M41</f>
        <v>4.6511627906976747</v>
      </c>
      <c r="S32" s="102"/>
      <c r="T32" s="103"/>
      <c r="U32" s="385">
        <f>'F8'!A41</f>
        <v>29</v>
      </c>
      <c r="V32" s="378">
        <f>'F8'!M41</f>
        <v>11.851851851851851</v>
      </c>
      <c r="W32" s="5"/>
      <c r="X32" s="376">
        <f>F10_form_validator!A35</f>
        <v>29</v>
      </c>
      <c r="Y32" s="377">
        <f>F10_form_validator!M35</f>
        <v>3.4883720930232558</v>
      </c>
      <c r="Z32" s="102"/>
      <c r="AA32" s="103"/>
      <c r="AB32" s="385">
        <f>F12_form_validator!A36</f>
        <v>29</v>
      </c>
      <c r="AC32" s="378">
        <f>F12_form_validator!N36</f>
        <v>8.8888888888888893</v>
      </c>
      <c r="AE32" s="563">
        <f>F10_form_validator!A35</f>
        <v>29</v>
      </c>
      <c r="AF32" s="564">
        <f>F10_form_validator!N35</f>
        <v>4.0697674418604652</v>
      </c>
      <c r="AG32" s="563"/>
      <c r="AH32" s="563"/>
      <c r="AI32" s="563">
        <f t="shared" si="4"/>
        <v>29</v>
      </c>
      <c r="AJ32" s="564">
        <f>F12_form_validator!O36</f>
        <v>10.37037037037037</v>
      </c>
    </row>
    <row r="33" spans="1:36" ht="30.75" thickBot="1" x14ac:dyDescent="0.3">
      <c r="A33" s="384">
        <v>30</v>
      </c>
      <c r="B33" s="378">
        <v>4.6511627906976747</v>
      </c>
      <c r="C33" s="102"/>
      <c r="D33" s="103"/>
      <c r="E33" s="385">
        <v>30</v>
      </c>
      <c r="F33" s="378">
        <v>5.9259259259259256</v>
      </c>
      <c r="H33" s="841" t="s">
        <v>989</v>
      </c>
      <c r="I33" s="842"/>
      <c r="J33" s="842"/>
      <c r="K33" s="842"/>
      <c r="L33" s="842"/>
      <c r="M33" s="576" t="s">
        <v>990</v>
      </c>
      <c r="N33" s="576" t="s">
        <v>991</v>
      </c>
      <c r="O33" s="577" t="s">
        <v>992</v>
      </c>
      <c r="Q33" s="376">
        <f>'F6'!A42</f>
        <v>30</v>
      </c>
      <c r="R33" s="377">
        <f>'F6'!M42</f>
        <v>4.6511627906976747</v>
      </c>
      <c r="S33" s="102"/>
      <c r="T33" s="103"/>
      <c r="U33" s="385">
        <f>'F8'!A42</f>
        <v>30</v>
      </c>
      <c r="V33" s="378">
        <f>'F8'!M42</f>
        <v>5.9259259259259256</v>
      </c>
      <c r="W33" s="5"/>
      <c r="X33" s="376">
        <f>F10_form_validator!A36</f>
        <v>30</v>
      </c>
      <c r="Y33" s="377">
        <f>F10_form_validator!M36</f>
        <v>3.4883720930232558</v>
      </c>
      <c r="Z33" s="102"/>
      <c r="AA33" s="103"/>
      <c r="AB33" s="385">
        <f>F12_form_validator!A37</f>
        <v>30</v>
      </c>
      <c r="AC33" s="378">
        <f>F12_form_validator!N37</f>
        <v>4.4444444444444446</v>
      </c>
      <c r="AE33" s="563">
        <f>F10_form_validator!A36</f>
        <v>30</v>
      </c>
      <c r="AF33" s="564">
        <f>F10_form_validator!N36</f>
        <v>4.0697674418604652</v>
      </c>
      <c r="AG33" s="563"/>
      <c r="AH33" s="563"/>
      <c r="AI33" s="563">
        <f t="shared" si="4"/>
        <v>30</v>
      </c>
      <c r="AJ33" s="564">
        <f>F12_form_validator!O37</f>
        <v>5.1851851851851851</v>
      </c>
    </row>
    <row r="34" spans="1:36" x14ac:dyDescent="0.25">
      <c r="A34" s="384">
        <v>31</v>
      </c>
      <c r="B34" s="378">
        <v>4.6511627906976747</v>
      </c>
      <c r="C34" s="102"/>
      <c r="D34" s="103"/>
      <c r="E34" s="385">
        <v>31</v>
      </c>
      <c r="F34" s="378">
        <v>11.851851851851851</v>
      </c>
      <c r="H34" s="865" t="s">
        <v>993</v>
      </c>
      <c r="I34" s="866"/>
      <c r="J34" s="866"/>
      <c r="K34" s="866"/>
      <c r="L34" s="866"/>
      <c r="M34" s="578">
        <v>0.75</v>
      </c>
      <c r="N34" s="557">
        <f>AF79</f>
        <v>350.00000000000011</v>
      </c>
      <c r="O34" s="579">
        <f>M34*N34</f>
        <v>262.50000000000011</v>
      </c>
      <c r="Q34" s="376">
        <f>'F6'!A43</f>
        <v>31</v>
      </c>
      <c r="R34" s="377">
        <f>'F6'!M43</f>
        <v>4.6511627906976747</v>
      </c>
      <c r="S34" s="102"/>
      <c r="T34" s="103"/>
      <c r="U34" s="385">
        <f>'F8'!A43</f>
        <v>31</v>
      </c>
      <c r="V34" s="378">
        <f>'F8'!M43</f>
        <v>11.851851851851851</v>
      </c>
      <c r="W34" s="5"/>
      <c r="X34" s="376">
        <f>F10_form_validator!A37</f>
        <v>31</v>
      </c>
      <c r="Y34" s="377">
        <f>F10_form_validator!M37</f>
        <v>3.4883720930232558</v>
      </c>
      <c r="Z34" s="102"/>
      <c r="AA34" s="103"/>
      <c r="AB34" s="385">
        <f>F12_form_validator!A38</f>
        <v>31</v>
      </c>
      <c r="AC34" s="378">
        <f>F12_form_validator!N38</f>
        <v>8.8888888888888893</v>
      </c>
      <c r="AE34" s="563">
        <f>F10_form_validator!A37</f>
        <v>31</v>
      </c>
      <c r="AF34" s="564">
        <f>F10_form_validator!N37</f>
        <v>4.0697674418604652</v>
      </c>
      <c r="AG34" s="563"/>
      <c r="AH34" s="563"/>
      <c r="AI34" s="563">
        <f t="shared" si="4"/>
        <v>31</v>
      </c>
      <c r="AJ34" s="564">
        <f>F12_form_validator!O38</f>
        <v>10.37037037037037</v>
      </c>
    </row>
    <row r="35" spans="1:36" x14ac:dyDescent="0.25">
      <c r="A35" s="384">
        <v>32</v>
      </c>
      <c r="B35" s="378">
        <v>4.6511627906976747</v>
      </c>
      <c r="C35" s="102"/>
      <c r="D35" s="103"/>
      <c r="E35" s="385">
        <v>32</v>
      </c>
      <c r="F35" s="378">
        <v>5.9259259259259256</v>
      </c>
      <c r="H35" s="867" t="s">
        <v>994</v>
      </c>
      <c r="I35" s="868"/>
      <c r="J35" s="868"/>
      <c r="K35" s="868"/>
      <c r="L35" s="868"/>
      <c r="M35" s="580">
        <v>0.1</v>
      </c>
      <c r="N35" s="512">
        <f>AH79</f>
        <v>350</v>
      </c>
      <c r="O35" s="513">
        <f t="shared" ref="O35:O36" si="7">M35*N35</f>
        <v>35</v>
      </c>
      <c r="Q35" s="376">
        <f>'F6'!A44</f>
        <v>32</v>
      </c>
      <c r="R35" s="377">
        <f>'F6'!M44</f>
        <v>4.6511627906976747</v>
      </c>
      <c r="S35" s="102"/>
      <c r="T35" s="103"/>
      <c r="U35" s="385">
        <f>'F8'!A44</f>
        <v>32</v>
      </c>
      <c r="V35" s="378">
        <f>'F8'!M44</f>
        <v>5.9259259259259256</v>
      </c>
      <c r="W35" s="5"/>
      <c r="X35" s="376">
        <f>F10_form_validator!A38</f>
        <v>32</v>
      </c>
      <c r="Y35" s="377">
        <f>F10_form_validator!M38</f>
        <v>3.4883720930232558</v>
      </c>
      <c r="Z35" s="102"/>
      <c r="AA35" s="103"/>
      <c r="AB35" s="385">
        <f>F12_form_validator!A39</f>
        <v>32</v>
      </c>
      <c r="AC35" s="378">
        <f>F12_form_validator!N39</f>
        <v>4.4444444444444446</v>
      </c>
      <c r="AE35" s="563">
        <f>F10_form_validator!A38</f>
        <v>32</v>
      </c>
      <c r="AF35" s="564">
        <f>F10_form_validator!N38</f>
        <v>4.0697674418604652</v>
      </c>
      <c r="AG35" s="563"/>
      <c r="AH35" s="563"/>
      <c r="AI35" s="563">
        <f t="shared" si="4"/>
        <v>32</v>
      </c>
      <c r="AJ35" s="564">
        <f>F12_form_validator!O39</f>
        <v>5.1851851851851851</v>
      </c>
    </row>
    <row r="36" spans="1:36" x14ac:dyDescent="0.25">
      <c r="A36" s="384">
        <v>33</v>
      </c>
      <c r="B36" s="378">
        <v>4.6511627906976747</v>
      </c>
      <c r="C36" s="102"/>
      <c r="D36" s="103"/>
      <c r="E36" s="385">
        <v>33</v>
      </c>
      <c r="F36" s="378">
        <v>8.8888888888888893</v>
      </c>
      <c r="H36" s="867" t="s">
        <v>1001</v>
      </c>
      <c r="I36" s="868"/>
      <c r="J36" s="868"/>
      <c r="K36" s="868"/>
      <c r="L36" s="868"/>
      <c r="M36" s="580">
        <v>0.15</v>
      </c>
      <c r="N36" s="512">
        <f>AJ79</f>
        <v>349.99999999999977</v>
      </c>
      <c r="O36" s="513">
        <f t="shared" si="7"/>
        <v>52.499999999999964</v>
      </c>
      <c r="Q36" s="376">
        <f>'F6'!A45</f>
        <v>33</v>
      </c>
      <c r="R36" s="377">
        <f>'F6'!M45</f>
        <v>4.6511627906976747</v>
      </c>
      <c r="S36" s="102"/>
      <c r="T36" s="103"/>
      <c r="U36" s="385">
        <f>'F8'!A45</f>
        <v>33</v>
      </c>
      <c r="V36" s="378">
        <f>'F8'!M45</f>
        <v>8.8888888888888893</v>
      </c>
      <c r="W36" s="5"/>
      <c r="X36" s="376">
        <f>F10_form_validator!A39</f>
        <v>33</v>
      </c>
      <c r="Y36" s="377">
        <f>F10_form_validator!M39</f>
        <v>3.4883720930232558</v>
      </c>
      <c r="Z36" s="102"/>
      <c r="AA36" s="103"/>
      <c r="AB36" s="385">
        <f>F12_form_validator!A40</f>
        <v>33</v>
      </c>
      <c r="AC36" s="378">
        <f>F12_form_validator!N40</f>
        <v>6.666666666666667</v>
      </c>
      <c r="AE36" s="563">
        <f>F10_form_validator!A39</f>
        <v>33</v>
      </c>
      <c r="AF36" s="564">
        <f>F10_form_validator!N39</f>
        <v>4.0697674418604652</v>
      </c>
      <c r="AG36" s="563"/>
      <c r="AH36" s="563"/>
      <c r="AI36" s="563">
        <f t="shared" si="4"/>
        <v>33</v>
      </c>
      <c r="AJ36" s="564">
        <f>F12_form_validator!O40</f>
        <v>7.7777777777777786</v>
      </c>
    </row>
    <row r="37" spans="1:36" ht="15.75" thickBot="1" x14ac:dyDescent="0.3">
      <c r="A37" s="384">
        <v>34</v>
      </c>
      <c r="B37" s="378">
        <v>4.6511627906976747</v>
      </c>
      <c r="C37" s="102"/>
      <c r="D37" s="103"/>
      <c r="E37" s="385">
        <v>34</v>
      </c>
      <c r="F37" s="378">
        <v>8.8888888888888893</v>
      </c>
      <c r="H37" s="869" t="s">
        <v>995</v>
      </c>
      <c r="I37" s="870"/>
      <c r="J37" s="870"/>
      <c r="K37" s="870"/>
      <c r="L37" s="870"/>
      <c r="M37" s="870"/>
      <c r="N37" s="870"/>
      <c r="O37" s="581">
        <f>SUM(O34:O36)</f>
        <v>350.00000000000006</v>
      </c>
      <c r="Q37" s="376">
        <f>'F6'!A46</f>
        <v>34</v>
      </c>
      <c r="R37" s="377">
        <f>'F6'!M46</f>
        <v>4.6511627906976747</v>
      </c>
      <c r="S37" s="102"/>
      <c r="T37" s="103"/>
      <c r="U37" s="385">
        <f>'F8'!A46</f>
        <v>34</v>
      </c>
      <c r="V37" s="378">
        <f>'F8'!M46</f>
        <v>8.8888888888888893</v>
      </c>
      <c r="W37" s="5"/>
      <c r="X37" s="376">
        <f>F10_form_validator!A40</f>
        <v>34</v>
      </c>
      <c r="Y37" s="377">
        <f>F10_form_validator!M40</f>
        <v>3.4883720930232558</v>
      </c>
      <c r="Z37" s="102"/>
      <c r="AA37" s="103"/>
      <c r="AB37" s="385">
        <f>F12_form_validator!A41</f>
        <v>34</v>
      </c>
      <c r="AC37" s="378">
        <f>F12_form_validator!N41</f>
        <v>6.666666666666667</v>
      </c>
      <c r="AE37" s="563">
        <f>F10_form_validator!A40</f>
        <v>34</v>
      </c>
      <c r="AF37" s="564">
        <f>F10_form_validator!N40</f>
        <v>4.0697674418604652</v>
      </c>
      <c r="AG37" s="563"/>
      <c r="AH37" s="563"/>
      <c r="AI37" s="563">
        <f t="shared" si="4"/>
        <v>34</v>
      </c>
      <c r="AJ37" s="564">
        <f>F12_form_validator!O41</f>
        <v>7.7777777777777786</v>
      </c>
    </row>
    <row r="38" spans="1:36" ht="15.75" thickBot="1" x14ac:dyDescent="0.3">
      <c r="A38" s="384">
        <v>35</v>
      </c>
      <c r="B38" s="378">
        <v>2.0671834625322996</v>
      </c>
      <c r="C38" s="102"/>
      <c r="D38" s="103"/>
      <c r="E38" s="385">
        <v>35</v>
      </c>
      <c r="F38" s="378">
        <v>5.9259259259259256</v>
      </c>
      <c r="H38" s="871" t="s">
        <v>996</v>
      </c>
      <c r="I38" s="872"/>
      <c r="J38" s="872"/>
      <c r="K38" s="872"/>
      <c r="L38" s="872"/>
      <c r="M38" s="873" t="str">
        <f>IF(O37&lt;200,"TIDAK TERAKREDITASI",IF(O37&lt;=300,"C",IF(O37&lt;361,"B","A")))</f>
        <v>B</v>
      </c>
      <c r="N38" s="873"/>
      <c r="O38" s="874"/>
      <c r="Q38" s="376">
        <f>'F6'!A47</f>
        <v>35</v>
      </c>
      <c r="R38" s="377">
        <f>'F6'!M47</f>
        <v>2.0671834625322996</v>
      </c>
      <c r="S38" s="102"/>
      <c r="T38" s="103"/>
      <c r="U38" s="385">
        <f>'F8'!A47</f>
        <v>35</v>
      </c>
      <c r="V38" s="378">
        <f>'F8'!M47</f>
        <v>5.9259259259259256</v>
      </c>
      <c r="W38" s="5"/>
      <c r="X38" s="376">
        <f>F10_form_validator!A41</f>
        <v>35</v>
      </c>
      <c r="Y38" s="377">
        <f>F10_form_validator!M41</f>
        <v>1.5503875968992247</v>
      </c>
      <c r="Z38" s="102"/>
      <c r="AA38" s="103"/>
      <c r="AB38" s="385">
        <f>F12_form_validator!A42</f>
        <v>35</v>
      </c>
      <c r="AC38" s="378">
        <f>F12_form_validator!N42</f>
        <v>4.4444444444444446</v>
      </c>
      <c r="AE38" s="563">
        <f>F10_form_validator!A41</f>
        <v>35</v>
      </c>
      <c r="AF38" s="564">
        <f>F10_form_validator!N41</f>
        <v>1.8087855297157622</v>
      </c>
      <c r="AG38" s="563"/>
      <c r="AH38" s="563"/>
      <c r="AI38" s="563">
        <f t="shared" si="4"/>
        <v>35</v>
      </c>
      <c r="AJ38" s="564">
        <f>F12_form_validator!O42</f>
        <v>5.1851851851851851</v>
      </c>
    </row>
    <row r="39" spans="1:36" x14ac:dyDescent="0.25">
      <c r="A39" s="384">
        <v>36</v>
      </c>
      <c r="B39" s="378">
        <v>4.1343669250645991</v>
      </c>
      <c r="C39" s="102"/>
      <c r="D39" s="103"/>
      <c r="E39" s="385">
        <v>36</v>
      </c>
      <c r="F39" s="378">
        <v>5.9259259259259256</v>
      </c>
      <c r="H39" s="15"/>
      <c r="I39" s="15"/>
      <c r="J39" s="15"/>
      <c r="K39" s="15"/>
      <c r="Q39" s="376">
        <f>'F6'!A48</f>
        <v>36</v>
      </c>
      <c r="R39" s="377">
        <f>'F6'!M48</f>
        <v>4.1343669250645991</v>
      </c>
      <c r="S39" s="102"/>
      <c r="T39" s="103"/>
      <c r="U39" s="385">
        <f>'F8'!A48</f>
        <v>36</v>
      </c>
      <c r="V39" s="378">
        <f>'F8'!M48</f>
        <v>5.9259259259259256</v>
      </c>
      <c r="W39" s="5"/>
      <c r="X39" s="376">
        <f>F10_form_validator!A42</f>
        <v>36</v>
      </c>
      <c r="Y39" s="377">
        <f>F10_form_validator!M42</f>
        <v>3.1007751937984493</v>
      </c>
      <c r="Z39" s="102"/>
      <c r="AA39" s="103"/>
      <c r="AB39" s="385">
        <f>F12_form_validator!A43</f>
        <v>36</v>
      </c>
      <c r="AC39" s="378">
        <f>F12_form_validator!N43</f>
        <v>4.4444444444444446</v>
      </c>
      <c r="AE39" s="563">
        <f>F10_form_validator!A42</f>
        <v>36</v>
      </c>
      <c r="AF39" s="564">
        <f>F10_form_validator!N42</f>
        <v>3.6175710594315245</v>
      </c>
      <c r="AG39" s="563"/>
      <c r="AH39" s="563"/>
      <c r="AI39" s="563">
        <f t="shared" si="4"/>
        <v>36</v>
      </c>
      <c r="AJ39" s="564">
        <f>F12_form_validator!O43</f>
        <v>5.1851851851851851</v>
      </c>
    </row>
    <row r="40" spans="1:36" x14ac:dyDescent="0.25">
      <c r="A40" s="384">
        <v>37</v>
      </c>
      <c r="B40" s="378">
        <v>10.335917312661497</v>
      </c>
      <c r="C40" s="102"/>
      <c r="D40" s="103"/>
      <c r="E40" s="385">
        <v>37</v>
      </c>
      <c r="F40" s="378">
        <v>5.9259259259259256</v>
      </c>
      <c r="H40" s="15"/>
      <c r="I40" s="15"/>
      <c r="J40" s="15"/>
      <c r="K40" s="15"/>
      <c r="Q40" s="376">
        <f>'F6'!A49</f>
        <v>37</v>
      </c>
      <c r="R40" s="377">
        <f>'F6'!M49</f>
        <v>10.335917312661497</v>
      </c>
      <c r="S40" s="102"/>
      <c r="T40" s="103"/>
      <c r="U40" s="385">
        <f>'F8'!A49</f>
        <v>37</v>
      </c>
      <c r="V40" s="378">
        <f>'F8'!M49</f>
        <v>5.9259259259259256</v>
      </c>
      <c r="W40" s="5"/>
      <c r="X40" s="376">
        <f>F10_form_validator!A43</f>
        <v>37</v>
      </c>
      <c r="Y40" s="377">
        <f>F10_form_validator!M43</f>
        <v>7.7519379844961227</v>
      </c>
      <c r="Z40" s="102"/>
      <c r="AA40" s="103"/>
      <c r="AB40" s="385">
        <f>F12_form_validator!A44</f>
        <v>37</v>
      </c>
      <c r="AC40" s="378">
        <f>F12_form_validator!N44</f>
        <v>4.4444444444444446</v>
      </c>
      <c r="AE40" s="563">
        <f>F10_form_validator!A43</f>
        <v>37</v>
      </c>
      <c r="AF40" s="564">
        <f>F10_form_validator!N43</f>
        <v>9.0439276485788103</v>
      </c>
      <c r="AG40" s="563"/>
      <c r="AH40" s="563"/>
      <c r="AI40" s="563">
        <f t="shared" si="4"/>
        <v>37</v>
      </c>
      <c r="AJ40" s="564">
        <f>F12_form_validator!O44</f>
        <v>5.1851851851851851</v>
      </c>
    </row>
    <row r="41" spans="1:36" x14ac:dyDescent="0.25">
      <c r="A41" s="384">
        <v>38</v>
      </c>
      <c r="B41" s="378">
        <v>20.671834625322994</v>
      </c>
      <c r="C41" s="102"/>
      <c r="D41" s="103"/>
      <c r="E41" s="385">
        <v>38</v>
      </c>
      <c r="F41" s="378">
        <v>7.4074074074074057</v>
      </c>
      <c r="H41" s="15"/>
      <c r="I41" s="15"/>
      <c r="J41" s="15"/>
      <c r="K41" s="15"/>
      <c r="Q41" s="376">
        <f>'F6'!A50</f>
        <v>38</v>
      </c>
      <c r="R41" s="377">
        <f>'F6'!M50</f>
        <v>20.671834625322994</v>
      </c>
      <c r="S41" s="102"/>
      <c r="T41" s="103"/>
      <c r="U41" s="385">
        <f>'F8'!A50</f>
        <v>38</v>
      </c>
      <c r="V41" s="378">
        <f>'F8'!M50</f>
        <v>7.4074074074074057</v>
      </c>
      <c r="W41" s="5"/>
      <c r="X41" s="376">
        <f>F10_form_validator!A44</f>
        <v>38</v>
      </c>
      <c r="Y41" s="377">
        <f>F10_form_validator!M44</f>
        <v>15.503875968992245</v>
      </c>
      <c r="Z41" s="102"/>
      <c r="AA41" s="103"/>
      <c r="AB41" s="385">
        <f>F12_form_validator!A45</f>
        <v>38</v>
      </c>
      <c r="AC41" s="378">
        <f>F12_form_validator!N45</f>
        <v>5.5555555555555545</v>
      </c>
      <c r="AE41" s="563">
        <f>F10_form_validator!A44</f>
        <v>38</v>
      </c>
      <c r="AF41" s="564">
        <f>F10_form_validator!N44</f>
        <v>18.087855297157621</v>
      </c>
      <c r="AG41" s="563"/>
      <c r="AH41" s="563"/>
      <c r="AI41" s="563">
        <f t="shared" si="4"/>
        <v>38</v>
      </c>
      <c r="AJ41" s="564">
        <f>F12_form_validator!O45</f>
        <v>6.4814814814814801</v>
      </c>
    </row>
    <row r="42" spans="1:36" x14ac:dyDescent="0.25">
      <c r="A42" s="384">
        <v>39</v>
      </c>
      <c r="B42" s="378">
        <v>20.671834625322994</v>
      </c>
      <c r="C42" s="102"/>
      <c r="D42" s="103"/>
      <c r="E42" s="385">
        <v>39</v>
      </c>
      <c r="F42" s="378">
        <v>7.4074074074074057</v>
      </c>
      <c r="H42" s="15"/>
      <c r="I42" s="15"/>
      <c r="J42" s="15"/>
      <c r="K42" s="15"/>
      <c r="Q42" s="376">
        <f>'F6'!A51</f>
        <v>39</v>
      </c>
      <c r="R42" s="377">
        <f>'F6'!M51</f>
        <v>20.671834625322994</v>
      </c>
      <c r="S42" s="102"/>
      <c r="T42" s="103"/>
      <c r="U42" s="385">
        <f>'F8'!A51</f>
        <v>39</v>
      </c>
      <c r="V42" s="378">
        <f>'F8'!M51</f>
        <v>7.4074074074074057</v>
      </c>
      <c r="W42" s="5"/>
      <c r="X42" s="376">
        <f>F10_form_validator!A45</f>
        <v>39</v>
      </c>
      <c r="Y42" s="377">
        <f>F10_form_validator!M45</f>
        <v>15.503875968992245</v>
      </c>
      <c r="Z42" s="102"/>
      <c r="AA42" s="103"/>
      <c r="AB42" s="385">
        <f>F12_form_validator!A46</f>
        <v>39</v>
      </c>
      <c r="AC42" s="378">
        <f>F12_form_validator!N46</f>
        <v>5.5555555555555545</v>
      </c>
      <c r="AE42" s="563">
        <f>F10_form_validator!A45</f>
        <v>39</v>
      </c>
      <c r="AF42" s="564">
        <f>F10_form_validator!N45</f>
        <v>18.087855297157621</v>
      </c>
      <c r="AG42" s="563"/>
      <c r="AH42" s="563"/>
      <c r="AI42" s="563">
        <f t="shared" si="4"/>
        <v>39</v>
      </c>
      <c r="AJ42" s="564">
        <f>F12_form_validator!O46</f>
        <v>6.4814814814814801</v>
      </c>
    </row>
    <row r="43" spans="1:36" x14ac:dyDescent="0.25">
      <c r="A43" s="384">
        <v>40</v>
      </c>
      <c r="B43" s="378">
        <v>4.1343669250645991</v>
      </c>
      <c r="C43" s="102"/>
      <c r="D43" s="103"/>
      <c r="E43" s="385">
        <v>40</v>
      </c>
      <c r="F43" s="378">
        <v>7.4074074074074057</v>
      </c>
      <c r="H43" s="15"/>
      <c r="I43" s="15"/>
      <c r="J43" s="15"/>
      <c r="K43" s="15"/>
      <c r="Q43" s="376">
        <f>'F6'!A52</f>
        <v>40</v>
      </c>
      <c r="R43" s="377">
        <f>'F6'!M52</f>
        <v>4.1343669250645991</v>
      </c>
      <c r="S43" s="102"/>
      <c r="T43" s="103"/>
      <c r="U43" s="385">
        <f>'F8'!A52</f>
        <v>40</v>
      </c>
      <c r="V43" s="378">
        <f>'F8'!M52</f>
        <v>7.4074074074074057</v>
      </c>
      <c r="W43" s="5"/>
      <c r="X43" s="376">
        <f>F10_form_validator!A46</f>
        <v>40</v>
      </c>
      <c r="Y43" s="377">
        <f>F10_form_validator!M46</f>
        <v>3.1007751937984493</v>
      </c>
      <c r="Z43" s="102"/>
      <c r="AA43" s="103"/>
      <c r="AB43" s="385">
        <f>F12_form_validator!A47</f>
        <v>40</v>
      </c>
      <c r="AC43" s="378">
        <f>F12_form_validator!N47</f>
        <v>5.5555555555555545</v>
      </c>
      <c r="AE43" s="563">
        <f>F10_form_validator!A46</f>
        <v>40</v>
      </c>
      <c r="AF43" s="564">
        <f>F10_form_validator!N46</f>
        <v>3.6175710594315245</v>
      </c>
      <c r="AG43" s="563"/>
      <c r="AH43" s="563"/>
      <c r="AI43" s="563">
        <f t="shared" si="4"/>
        <v>40</v>
      </c>
      <c r="AJ43" s="564">
        <f>F12_form_validator!O47</f>
        <v>6.4814814814814801</v>
      </c>
    </row>
    <row r="44" spans="1:36" x14ac:dyDescent="0.25">
      <c r="A44" s="384">
        <v>41</v>
      </c>
      <c r="B44" s="378">
        <v>1.0335917312661498</v>
      </c>
      <c r="C44" s="102"/>
      <c r="D44" s="103"/>
      <c r="E44" s="385">
        <v>41</v>
      </c>
      <c r="F44" s="378">
        <v>7.4074074074074057</v>
      </c>
      <c r="H44" s="15"/>
      <c r="I44" s="15"/>
      <c r="J44" s="15"/>
      <c r="K44" s="15"/>
      <c r="Q44" s="376">
        <f>'F6'!A53</f>
        <v>41</v>
      </c>
      <c r="R44" s="377">
        <f>'F6'!M53</f>
        <v>1.0335917312661498</v>
      </c>
      <c r="S44" s="102"/>
      <c r="T44" s="103"/>
      <c r="U44" s="385">
        <f>'F8'!A53</f>
        <v>41</v>
      </c>
      <c r="V44" s="378">
        <f>'F8'!M53</f>
        <v>7.4074074074074057</v>
      </c>
      <c r="W44" s="5"/>
      <c r="X44" s="376">
        <f>F10_form_validator!A47</f>
        <v>41</v>
      </c>
      <c r="Y44" s="377">
        <f>F10_form_validator!M47</f>
        <v>0.77519379844961234</v>
      </c>
      <c r="Z44" s="102"/>
      <c r="AA44" s="103"/>
      <c r="AB44" s="385">
        <f>F12_form_validator!A48</f>
        <v>41</v>
      </c>
      <c r="AC44" s="378">
        <f>F12_form_validator!N48</f>
        <v>5.5555555555555545</v>
      </c>
      <c r="AE44" s="563">
        <f>F10_form_validator!A47</f>
        <v>41</v>
      </c>
      <c r="AF44" s="564">
        <f>F10_form_validator!N47</f>
        <v>0.90439276485788112</v>
      </c>
      <c r="AG44" s="563"/>
      <c r="AH44" s="563"/>
      <c r="AI44" s="563">
        <f t="shared" si="4"/>
        <v>41</v>
      </c>
      <c r="AJ44" s="564">
        <f>F12_form_validator!O48</f>
        <v>6.4814814814814801</v>
      </c>
    </row>
    <row r="45" spans="1:36" x14ac:dyDescent="0.25">
      <c r="A45" s="384">
        <v>42</v>
      </c>
      <c r="B45" s="378">
        <v>4.1343669250645991</v>
      </c>
      <c r="C45" s="102"/>
      <c r="D45" s="103"/>
      <c r="E45" s="385">
        <v>42</v>
      </c>
      <c r="F45" s="378">
        <v>7.4074074074074057</v>
      </c>
      <c r="H45" s="15"/>
      <c r="I45" s="15"/>
      <c r="J45" s="15"/>
      <c r="K45" s="15"/>
      <c r="Q45" s="376">
        <f>'F6'!A54</f>
        <v>42</v>
      </c>
      <c r="R45" s="377">
        <f>'F6'!M54</f>
        <v>4.1343669250645991</v>
      </c>
      <c r="S45" s="102"/>
      <c r="T45" s="103"/>
      <c r="U45" s="385">
        <f>'F8'!A54</f>
        <v>42</v>
      </c>
      <c r="V45" s="378">
        <f>'F8'!M54</f>
        <v>7.4074074074074057</v>
      </c>
      <c r="W45" s="5"/>
      <c r="X45" s="376">
        <f>F10_form_validator!A48</f>
        <v>42</v>
      </c>
      <c r="Y45" s="377">
        <f>F10_form_validator!M48</f>
        <v>3.1007751937984493</v>
      </c>
      <c r="Z45" s="102"/>
      <c r="AA45" s="103"/>
      <c r="AB45" s="385">
        <f>F12_form_validator!A49</f>
        <v>42</v>
      </c>
      <c r="AC45" s="378">
        <f>F12_form_validator!N49</f>
        <v>5.5555555555555545</v>
      </c>
      <c r="AE45" s="563">
        <f>F10_form_validator!A48</f>
        <v>42</v>
      </c>
      <c r="AF45" s="564">
        <f>F10_form_validator!N48</f>
        <v>3.6175710594315245</v>
      </c>
      <c r="AG45" s="563"/>
      <c r="AH45" s="563"/>
      <c r="AI45" s="563">
        <f t="shared" si="4"/>
        <v>42</v>
      </c>
      <c r="AJ45" s="564">
        <f>F12_form_validator!O49</f>
        <v>6.4814814814814801</v>
      </c>
    </row>
    <row r="46" spans="1:36" x14ac:dyDescent="0.25">
      <c r="A46" s="384">
        <v>43</v>
      </c>
      <c r="B46" s="378">
        <v>2.0671834625322996</v>
      </c>
      <c r="C46" s="102"/>
      <c r="D46" s="103"/>
      <c r="E46" s="385">
        <v>43</v>
      </c>
      <c r="F46" s="378">
        <v>7.4074074074074057</v>
      </c>
      <c r="H46" s="15"/>
      <c r="I46" s="15"/>
      <c r="J46" s="15"/>
      <c r="K46" s="15"/>
      <c r="Q46" s="376">
        <f>'F6'!A55</f>
        <v>43</v>
      </c>
      <c r="R46" s="377">
        <f>'F6'!M55</f>
        <v>2.0671834625322996</v>
      </c>
      <c r="S46" s="102"/>
      <c r="T46" s="103"/>
      <c r="U46" s="385">
        <f>'F8'!A55</f>
        <v>43</v>
      </c>
      <c r="V46" s="378">
        <f>'F8'!M55</f>
        <v>7.4074074074074057</v>
      </c>
      <c r="W46" s="5"/>
      <c r="X46" s="376">
        <f>F10_form_validator!A49</f>
        <v>43</v>
      </c>
      <c r="Y46" s="377">
        <f>F10_form_validator!M49</f>
        <v>1.5503875968992247</v>
      </c>
      <c r="Z46" s="102"/>
      <c r="AA46" s="103"/>
      <c r="AB46" s="385">
        <f>F12_form_validator!A50</f>
        <v>43</v>
      </c>
      <c r="AC46" s="378">
        <f>F12_form_validator!N50</f>
        <v>5.5555555555555545</v>
      </c>
      <c r="AE46" s="563">
        <f>F10_form_validator!A49</f>
        <v>43</v>
      </c>
      <c r="AF46" s="564">
        <f>F10_form_validator!N49</f>
        <v>1.8087855297157622</v>
      </c>
      <c r="AG46" s="563"/>
      <c r="AH46" s="563"/>
      <c r="AI46" s="563">
        <f t="shared" si="4"/>
        <v>43</v>
      </c>
      <c r="AJ46" s="564">
        <f>F12_form_validator!O50</f>
        <v>6.4814814814814801</v>
      </c>
    </row>
    <row r="47" spans="1:36" x14ac:dyDescent="0.25">
      <c r="A47" s="384">
        <v>44</v>
      </c>
      <c r="B47" s="378">
        <v>3.1007751937984493</v>
      </c>
      <c r="C47" s="102"/>
      <c r="D47" s="103"/>
      <c r="E47" s="385">
        <v>44</v>
      </c>
      <c r="F47" s="378">
        <v>11.111111111111109</v>
      </c>
      <c r="H47" s="15"/>
      <c r="I47" s="15"/>
      <c r="J47" s="15"/>
      <c r="K47" s="15"/>
      <c r="Q47" s="376">
        <f>'F6'!A56</f>
        <v>44</v>
      </c>
      <c r="R47" s="377">
        <f>'F6'!M56</f>
        <v>3.1007751937984493</v>
      </c>
      <c r="S47" s="102"/>
      <c r="T47" s="103"/>
      <c r="U47" s="385">
        <f>'F8'!A56</f>
        <v>44</v>
      </c>
      <c r="V47" s="378">
        <f>'F8'!M56</f>
        <v>11.111111111111109</v>
      </c>
      <c r="W47" s="5"/>
      <c r="X47" s="376">
        <f>F10_form_validator!A50</f>
        <v>44</v>
      </c>
      <c r="Y47" s="377">
        <f>F10_form_validator!M50</f>
        <v>2.3255813953488369</v>
      </c>
      <c r="Z47" s="102"/>
      <c r="AA47" s="103"/>
      <c r="AB47" s="385">
        <f>F12_form_validator!A51</f>
        <v>44</v>
      </c>
      <c r="AC47" s="378">
        <f>F12_form_validator!N51</f>
        <v>8.3333333333333321</v>
      </c>
      <c r="AE47" s="563">
        <f>F10_form_validator!A50</f>
        <v>44</v>
      </c>
      <c r="AF47" s="564">
        <f>F10_form_validator!N50</f>
        <v>2.7131782945736433</v>
      </c>
      <c r="AG47" s="563"/>
      <c r="AH47" s="563"/>
      <c r="AI47" s="563">
        <f t="shared" si="4"/>
        <v>44</v>
      </c>
      <c r="AJ47" s="564">
        <f>F12_form_validator!O51</f>
        <v>9.7222222222222197</v>
      </c>
    </row>
    <row r="48" spans="1:36" x14ac:dyDescent="0.25">
      <c r="A48" s="384">
        <v>45</v>
      </c>
      <c r="B48" s="378">
        <v>2.0671834625322996</v>
      </c>
      <c r="C48" s="102"/>
      <c r="D48" s="103"/>
      <c r="E48" s="385">
        <v>45</v>
      </c>
      <c r="F48" s="378">
        <v>11.111111111111109</v>
      </c>
      <c r="H48" s="15"/>
      <c r="I48" s="15"/>
      <c r="J48" s="15"/>
      <c r="K48" s="15"/>
      <c r="Q48" s="376">
        <f>'F6'!A57</f>
        <v>45</v>
      </c>
      <c r="R48" s="377">
        <f>'F6'!M57</f>
        <v>2.0671834625322996</v>
      </c>
      <c r="S48" s="102"/>
      <c r="T48" s="103"/>
      <c r="U48" s="385">
        <f>'F8'!A57</f>
        <v>45</v>
      </c>
      <c r="V48" s="378">
        <f>'F8'!M57</f>
        <v>11.111111111111109</v>
      </c>
      <c r="W48" s="5"/>
      <c r="X48" s="376">
        <f>F10_form_validator!A51</f>
        <v>45</v>
      </c>
      <c r="Y48" s="377">
        <f>F10_form_validator!M51</f>
        <v>1.5503875968992247</v>
      </c>
      <c r="Z48" s="102"/>
      <c r="AA48" s="103"/>
      <c r="AB48" s="385">
        <f>F12_form_validator!A52</f>
        <v>45</v>
      </c>
      <c r="AC48" s="378">
        <f>F12_form_validator!N52</f>
        <v>8.3333333333333321</v>
      </c>
      <c r="AE48" s="563">
        <f>F10_form_validator!A51</f>
        <v>45</v>
      </c>
      <c r="AF48" s="564">
        <f>F10_form_validator!N51</f>
        <v>1.8087855297157622</v>
      </c>
      <c r="AG48" s="563"/>
      <c r="AH48" s="563"/>
      <c r="AI48" s="563">
        <f t="shared" si="4"/>
        <v>45</v>
      </c>
      <c r="AJ48" s="564">
        <f>F12_form_validator!O52</f>
        <v>9.7222222222222197</v>
      </c>
    </row>
    <row r="49" spans="1:36" x14ac:dyDescent="0.25">
      <c r="A49" s="384">
        <v>46</v>
      </c>
      <c r="B49" s="378">
        <v>4.1343669250645991</v>
      </c>
      <c r="C49" s="102"/>
      <c r="D49" s="103"/>
      <c r="E49" s="385"/>
      <c r="F49" s="378"/>
      <c r="H49" s="15"/>
      <c r="I49" s="15"/>
      <c r="J49" s="15"/>
      <c r="K49" s="15"/>
      <c r="Q49" s="376">
        <f>'F6'!A58</f>
        <v>46</v>
      </c>
      <c r="R49" s="377">
        <f>'F6'!M58</f>
        <v>4.1343669250645991</v>
      </c>
      <c r="S49" s="102"/>
      <c r="T49" s="103"/>
      <c r="U49" s="385"/>
      <c r="V49" s="378"/>
      <c r="W49" s="5"/>
      <c r="X49" s="376">
        <f>F10_form_validator!A52</f>
        <v>46</v>
      </c>
      <c r="Y49" s="377">
        <f>F10_form_validator!M52</f>
        <v>3.1007751937984493</v>
      </c>
      <c r="Z49" s="102"/>
      <c r="AA49" s="103"/>
      <c r="AB49" s="385"/>
      <c r="AC49" s="378"/>
      <c r="AE49" s="563">
        <f>F10_form_validator!A52</f>
        <v>46</v>
      </c>
      <c r="AF49" s="564">
        <f>F10_form_validator!N52</f>
        <v>3.6175710594315245</v>
      </c>
      <c r="AG49" s="563"/>
      <c r="AH49" s="563"/>
      <c r="AI49" s="563"/>
      <c r="AJ49" s="563"/>
    </row>
    <row r="50" spans="1:36" x14ac:dyDescent="0.25">
      <c r="A50" s="384">
        <v>47</v>
      </c>
      <c r="B50" s="378">
        <v>2.0671834625322996</v>
      </c>
      <c r="C50" s="102"/>
      <c r="D50" s="103"/>
      <c r="E50" s="385"/>
      <c r="F50" s="378"/>
      <c r="H50" s="15"/>
      <c r="I50" s="15"/>
      <c r="J50" s="15"/>
      <c r="K50" s="15"/>
      <c r="Q50" s="376">
        <f>'F6'!A59</f>
        <v>47</v>
      </c>
      <c r="R50" s="377">
        <f>'F6'!M59</f>
        <v>2.0671834625322996</v>
      </c>
      <c r="S50" s="102"/>
      <c r="T50" s="103"/>
      <c r="U50" s="385"/>
      <c r="V50" s="378"/>
      <c r="W50" s="5"/>
      <c r="X50" s="376">
        <f>F10_form_validator!A53</f>
        <v>47</v>
      </c>
      <c r="Y50" s="377">
        <f>F10_form_validator!M53</f>
        <v>1.5503875968992247</v>
      </c>
      <c r="Z50" s="102"/>
      <c r="AA50" s="103"/>
      <c r="AB50" s="385"/>
      <c r="AC50" s="378"/>
      <c r="AE50" s="563">
        <f>F10_form_validator!A53</f>
        <v>47</v>
      </c>
      <c r="AF50" s="564">
        <f>F10_form_validator!N53</f>
        <v>1.8087855297157622</v>
      </c>
      <c r="AG50" s="563"/>
      <c r="AH50" s="563"/>
      <c r="AI50" s="563"/>
      <c r="AJ50" s="563"/>
    </row>
    <row r="51" spans="1:36" x14ac:dyDescent="0.25">
      <c r="A51" s="384">
        <v>48</v>
      </c>
      <c r="B51" s="378">
        <v>4.1343669250645991</v>
      </c>
      <c r="C51" s="102"/>
      <c r="D51" s="103"/>
      <c r="E51" s="385"/>
      <c r="F51" s="378"/>
      <c r="H51" s="15"/>
      <c r="I51" s="15"/>
      <c r="J51" s="15"/>
      <c r="K51" s="15"/>
      <c r="Q51" s="376">
        <f>'F6'!A60</f>
        <v>48</v>
      </c>
      <c r="R51" s="377">
        <f>'F6'!M60</f>
        <v>4.1343669250645991</v>
      </c>
      <c r="S51" s="102"/>
      <c r="T51" s="103"/>
      <c r="U51" s="385"/>
      <c r="V51" s="378"/>
      <c r="W51" s="5"/>
      <c r="X51" s="376">
        <f>F10_form_validator!A54</f>
        <v>48</v>
      </c>
      <c r="Y51" s="377">
        <f>F10_form_validator!M54</f>
        <v>3.1007751937984493</v>
      </c>
      <c r="Z51" s="102"/>
      <c r="AA51" s="103"/>
      <c r="AB51" s="385"/>
      <c r="AC51" s="378"/>
      <c r="AE51" s="563">
        <f>F10_form_validator!A54</f>
        <v>48</v>
      </c>
      <c r="AF51" s="564">
        <f>F10_form_validator!N54</f>
        <v>3.6175710594315245</v>
      </c>
      <c r="AG51" s="563"/>
      <c r="AH51" s="563"/>
      <c r="AI51" s="563"/>
      <c r="AJ51" s="563"/>
    </row>
    <row r="52" spans="1:36" x14ac:dyDescent="0.25">
      <c r="A52" s="384">
        <v>49</v>
      </c>
      <c r="B52" s="378">
        <v>2.0671834625322996</v>
      </c>
      <c r="C52" s="102"/>
      <c r="D52" s="103"/>
      <c r="E52" s="385"/>
      <c r="F52" s="378"/>
      <c r="H52" s="15"/>
      <c r="I52" s="15"/>
      <c r="J52" s="15"/>
      <c r="K52" s="15"/>
      <c r="Q52" s="376">
        <f>'F6'!A61</f>
        <v>49</v>
      </c>
      <c r="R52" s="377">
        <f>'F6'!M61</f>
        <v>2.0671834625322996</v>
      </c>
      <c r="S52" s="102"/>
      <c r="T52" s="103"/>
      <c r="U52" s="385"/>
      <c r="V52" s="378"/>
      <c r="W52" s="5"/>
      <c r="X52" s="376">
        <f>F10_form_validator!A55</f>
        <v>49</v>
      </c>
      <c r="Y52" s="377">
        <f>F10_form_validator!M55</f>
        <v>1.5503875968992247</v>
      </c>
      <c r="Z52" s="102"/>
      <c r="AA52" s="103"/>
      <c r="AB52" s="385"/>
      <c r="AC52" s="378"/>
      <c r="AE52" s="563">
        <f>F10_form_validator!A55</f>
        <v>49</v>
      </c>
      <c r="AF52" s="564">
        <f>F10_form_validator!N55</f>
        <v>1.8087855297157622</v>
      </c>
      <c r="AG52" s="563"/>
      <c r="AH52" s="563"/>
      <c r="AI52" s="563"/>
      <c r="AJ52" s="563"/>
    </row>
    <row r="53" spans="1:36" x14ac:dyDescent="0.25">
      <c r="A53" s="384">
        <v>50</v>
      </c>
      <c r="B53" s="378">
        <v>2.0671834625322996</v>
      </c>
      <c r="C53" s="102"/>
      <c r="D53" s="103"/>
      <c r="E53" s="385"/>
      <c r="F53" s="378"/>
      <c r="H53" s="15"/>
      <c r="I53" s="15"/>
      <c r="J53" s="15"/>
      <c r="K53" s="15"/>
      <c r="Q53" s="376">
        <f>'F6'!A62</f>
        <v>50</v>
      </c>
      <c r="R53" s="377">
        <f>'F6'!M62</f>
        <v>2.0671834625322996</v>
      </c>
      <c r="S53" s="102"/>
      <c r="T53" s="103"/>
      <c r="U53" s="385"/>
      <c r="V53" s="378"/>
      <c r="W53" s="5"/>
      <c r="X53" s="376">
        <f>F10_form_validator!A56</f>
        <v>50</v>
      </c>
      <c r="Y53" s="377">
        <f>F10_form_validator!M56</f>
        <v>1.5503875968992247</v>
      </c>
      <c r="Z53" s="102"/>
      <c r="AA53" s="103"/>
      <c r="AB53" s="385"/>
      <c r="AC53" s="378"/>
      <c r="AE53" s="563">
        <f>F10_form_validator!A56</f>
        <v>50</v>
      </c>
      <c r="AF53" s="564">
        <f>F10_form_validator!N56</f>
        <v>1.8087855297157622</v>
      </c>
      <c r="AG53" s="563"/>
      <c r="AH53" s="563"/>
      <c r="AI53" s="563"/>
      <c r="AJ53" s="563"/>
    </row>
    <row r="54" spans="1:36" x14ac:dyDescent="0.25">
      <c r="A54" s="384">
        <v>51</v>
      </c>
      <c r="B54" s="378">
        <v>2.0671834625322996</v>
      </c>
      <c r="C54" s="102"/>
      <c r="D54" s="103"/>
      <c r="E54" s="385"/>
      <c r="F54" s="378"/>
      <c r="H54" s="15"/>
      <c r="I54" s="15"/>
      <c r="J54" s="15"/>
      <c r="K54" s="15"/>
      <c r="Q54" s="376">
        <f>'F6'!A63</f>
        <v>51</v>
      </c>
      <c r="R54" s="377">
        <f>'F6'!M63</f>
        <v>2.0671834625322996</v>
      </c>
      <c r="S54" s="102"/>
      <c r="T54" s="103"/>
      <c r="U54" s="385"/>
      <c r="V54" s="378"/>
      <c r="W54" s="5"/>
      <c r="X54" s="376">
        <f>F10_form_validator!A57</f>
        <v>51</v>
      </c>
      <c r="Y54" s="377">
        <f>F10_form_validator!M57</f>
        <v>1.5503875968992247</v>
      </c>
      <c r="Z54" s="102"/>
      <c r="AA54" s="103"/>
      <c r="AB54" s="385"/>
      <c r="AC54" s="378"/>
      <c r="AE54" s="563">
        <f>F10_form_validator!A57</f>
        <v>51</v>
      </c>
      <c r="AF54" s="564">
        <f>F10_form_validator!N57</f>
        <v>1.8087855297157622</v>
      </c>
      <c r="AG54" s="563"/>
      <c r="AH54" s="563"/>
      <c r="AI54" s="563"/>
      <c r="AJ54" s="563"/>
    </row>
    <row r="55" spans="1:36" x14ac:dyDescent="0.25">
      <c r="A55" s="384">
        <v>52</v>
      </c>
      <c r="B55" s="378">
        <v>2.0671834625322996</v>
      </c>
      <c r="C55" s="102"/>
      <c r="D55" s="103"/>
      <c r="E55" s="385"/>
      <c r="F55" s="378"/>
      <c r="H55" s="15"/>
      <c r="I55" s="15"/>
      <c r="J55" s="15"/>
      <c r="K55" s="15"/>
      <c r="Q55" s="376">
        <f>'F6'!A64</f>
        <v>52</v>
      </c>
      <c r="R55" s="377">
        <f>'F6'!M64</f>
        <v>2.0671834625322996</v>
      </c>
      <c r="S55" s="102"/>
      <c r="T55" s="103"/>
      <c r="U55" s="385"/>
      <c r="V55" s="378"/>
      <c r="W55" s="5"/>
      <c r="X55" s="376">
        <f>F10_form_validator!A58</f>
        <v>52</v>
      </c>
      <c r="Y55" s="377">
        <f>F10_form_validator!M58</f>
        <v>1.5503875968992247</v>
      </c>
      <c r="Z55" s="102"/>
      <c r="AA55" s="103"/>
      <c r="AB55" s="385"/>
      <c r="AC55" s="378"/>
      <c r="AE55" s="563">
        <f>F10_form_validator!A58</f>
        <v>52</v>
      </c>
      <c r="AF55" s="564">
        <f>F10_form_validator!N58</f>
        <v>1.8087855297157622</v>
      </c>
      <c r="AG55" s="563"/>
      <c r="AH55" s="563"/>
      <c r="AI55" s="563"/>
      <c r="AJ55" s="563"/>
    </row>
    <row r="56" spans="1:36" x14ac:dyDescent="0.25">
      <c r="A56" s="384">
        <v>53</v>
      </c>
      <c r="B56" s="378">
        <v>4.2283298097251585</v>
      </c>
      <c r="C56" s="102"/>
      <c r="D56" s="103"/>
      <c r="E56" s="385"/>
      <c r="F56" s="378"/>
      <c r="H56" s="15"/>
      <c r="I56" s="15"/>
      <c r="J56" s="15"/>
      <c r="K56" s="15"/>
      <c r="Q56" s="376">
        <f>'F6'!A65</f>
        <v>53</v>
      </c>
      <c r="R56" s="377">
        <f>'F6'!M65</f>
        <v>4.2283298097251585</v>
      </c>
      <c r="S56" s="102"/>
      <c r="T56" s="103"/>
      <c r="U56" s="385"/>
      <c r="V56" s="378"/>
      <c r="W56" s="5"/>
      <c r="X56" s="376">
        <f>F10_form_validator!A59</f>
        <v>53</v>
      </c>
      <c r="Y56" s="377">
        <f>F10_form_validator!M59</f>
        <v>3.1712473572938689</v>
      </c>
      <c r="Z56" s="102"/>
      <c r="AA56" s="103"/>
      <c r="AB56" s="385"/>
      <c r="AC56" s="378"/>
      <c r="AE56" s="563">
        <f>F10_form_validator!A59</f>
        <v>53</v>
      </c>
      <c r="AF56" s="564">
        <f>F10_form_validator!N59</f>
        <v>3.6997885835095135</v>
      </c>
      <c r="AG56" s="563"/>
      <c r="AH56" s="563"/>
      <c r="AI56" s="563"/>
      <c r="AJ56" s="563"/>
    </row>
    <row r="57" spans="1:36" x14ac:dyDescent="0.25">
      <c r="A57" s="384">
        <v>54</v>
      </c>
      <c r="B57" s="378">
        <v>2.1141649048625792</v>
      </c>
      <c r="C57" s="102"/>
      <c r="D57" s="103"/>
      <c r="E57" s="385"/>
      <c r="F57" s="378"/>
      <c r="H57" s="15"/>
      <c r="I57" s="15"/>
      <c r="J57" s="15"/>
      <c r="K57" s="15"/>
      <c r="Q57" s="376">
        <f>'F6'!A66</f>
        <v>54</v>
      </c>
      <c r="R57" s="377">
        <f>'F6'!M66</f>
        <v>2.1141649048625792</v>
      </c>
      <c r="S57" s="102"/>
      <c r="T57" s="103"/>
      <c r="U57" s="385"/>
      <c r="V57" s="378"/>
      <c r="W57" s="5"/>
      <c r="X57" s="376">
        <f>F10_form_validator!A60</f>
        <v>54</v>
      </c>
      <c r="Y57" s="377">
        <f>F10_form_validator!M60</f>
        <v>1.5856236786469344</v>
      </c>
      <c r="Z57" s="102"/>
      <c r="AA57" s="103"/>
      <c r="AB57" s="385"/>
      <c r="AC57" s="378"/>
      <c r="AE57" s="563">
        <f>F10_form_validator!A60</f>
        <v>54</v>
      </c>
      <c r="AF57" s="564">
        <f>F10_form_validator!N60</f>
        <v>1.8498942917547567</v>
      </c>
      <c r="AG57" s="563"/>
      <c r="AH57" s="563"/>
      <c r="AI57" s="563"/>
      <c r="AJ57" s="563"/>
    </row>
    <row r="58" spans="1:36" x14ac:dyDescent="0.25">
      <c r="A58" s="384">
        <v>55</v>
      </c>
      <c r="B58" s="378">
        <v>4.2283298097251585</v>
      </c>
      <c r="C58" s="102"/>
      <c r="D58" s="103"/>
      <c r="E58" s="385"/>
      <c r="F58" s="378"/>
      <c r="H58" s="15"/>
      <c r="I58" s="15"/>
      <c r="J58" s="15"/>
      <c r="K58" s="15"/>
      <c r="Q58" s="376">
        <f>'F6'!A67</f>
        <v>55</v>
      </c>
      <c r="R58" s="377">
        <f>'F6'!M67</f>
        <v>4.2283298097251585</v>
      </c>
      <c r="S58" s="102"/>
      <c r="T58" s="103"/>
      <c r="U58" s="385"/>
      <c r="V58" s="378"/>
      <c r="W58" s="5"/>
      <c r="X58" s="376">
        <f>F10_form_validator!A61</f>
        <v>55</v>
      </c>
      <c r="Y58" s="377">
        <f>F10_form_validator!M61</f>
        <v>3.1712473572938689</v>
      </c>
      <c r="Z58" s="102"/>
      <c r="AA58" s="103"/>
      <c r="AB58" s="385"/>
      <c r="AC58" s="378"/>
      <c r="AE58" s="563">
        <f>F10_form_validator!A61</f>
        <v>55</v>
      </c>
      <c r="AF58" s="564">
        <f>F10_form_validator!N61</f>
        <v>3.6997885835095135</v>
      </c>
      <c r="AG58" s="563"/>
      <c r="AH58" s="563"/>
      <c r="AI58" s="563"/>
      <c r="AJ58" s="563"/>
    </row>
    <row r="59" spans="1:36" x14ac:dyDescent="0.25">
      <c r="A59" s="384">
        <v>56</v>
      </c>
      <c r="B59" s="378">
        <v>2.1141649048625792</v>
      </c>
      <c r="C59" s="102"/>
      <c r="D59" s="103"/>
      <c r="E59" s="385"/>
      <c r="F59" s="378"/>
      <c r="H59" s="15"/>
      <c r="I59" s="15"/>
      <c r="J59" s="15"/>
      <c r="K59" s="15"/>
      <c r="Q59" s="376">
        <f>'F6'!A68</f>
        <v>56</v>
      </c>
      <c r="R59" s="377">
        <f>'F6'!M68</f>
        <v>2.1141649048625792</v>
      </c>
      <c r="S59" s="102"/>
      <c r="T59" s="103"/>
      <c r="U59" s="385"/>
      <c r="V59" s="378"/>
      <c r="W59" s="5"/>
      <c r="X59" s="376">
        <f>F10_form_validator!A62</f>
        <v>56</v>
      </c>
      <c r="Y59" s="377">
        <f>F10_form_validator!M62</f>
        <v>1.5856236786469344</v>
      </c>
      <c r="Z59" s="102"/>
      <c r="AA59" s="103"/>
      <c r="AB59" s="385"/>
      <c r="AC59" s="378"/>
      <c r="AE59" s="563">
        <f>F10_form_validator!A62</f>
        <v>56</v>
      </c>
      <c r="AF59" s="564">
        <f>F10_form_validator!N62</f>
        <v>1.8498942917547567</v>
      </c>
      <c r="AG59" s="563"/>
      <c r="AH59" s="563"/>
      <c r="AI59" s="563"/>
      <c r="AJ59" s="563"/>
    </row>
    <row r="60" spans="1:36" x14ac:dyDescent="0.25">
      <c r="A60" s="384">
        <v>57</v>
      </c>
      <c r="B60" s="378">
        <v>2.1141649048625792</v>
      </c>
      <c r="C60" s="102"/>
      <c r="D60" s="103"/>
      <c r="E60" s="385"/>
      <c r="F60" s="378"/>
      <c r="H60" s="15"/>
      <c r="I60" s="15"/>
      <c r="J60" s="15"/>
      <c r="K60" s="15"/>
      <c r="Q60" s="376">
        <f>'F6'!A69</f>
        <v>57</v>
      </c>
      <c r="R60" s="377">
        <f>'F6'!M69</f>
        <v>2.1141649048625792</v>
      </c>
      <c r="S60" s="102"/>
      <c r="T60" s="103"/>
      <c r="U60" s="385"/>
      <c r="V60" s="378"/>
      <c r="W60" s="5"/>
      <c r="X60" s="376">
        <f>F10_form_validator!A63</f>
        <v>57</v>
      </c>
      <c r="Y60" s="377">
        <f>F10_form_validator!M63</f>
        <v>1.5856236786469344</v>
      </c>
      <c r="Z60" s="102"/>
      <c r="AA60" s="103"/>
      <c r="AB60" s="385"/>
      <c r="AC60" s="378"/>
      <c r="AE60" s="563">
        <f>F10_form_validator!A63</f>
        <v>57</v>
      </c>
      <c r="AF60" s="564">
        <f>F10_form_validator!N63</f>
        <v>1.8498942917547567</v>
      </c>
      <c r="AG60" s="563"/>
      <c r="AH60" s="563"/>
      <c r="AI60" s="563"/>
      <c r="AJ60" s="563"/>
    </row>
    <row r="61" spans="1:36" x14ac:dyDescent="0.25">
      <c r="A61" s="384">
        <v>58</v>
      </c>
      <c r="B61" s="378">
        <v>8.456659619450317</v>
      </c>
      <c r="C61" s="102"/>
      <c r="D61" s="103"/>
      <c r="E61" s="385"/>
      <c r="F61" s="378"/>
      <c r="H61" s="15"/>
      <c r="I61" s="15"/>
      <c r="J61" s="15"/>
      <c r="K61" s="15"/>
      <c r="Q61" s="376">
        <f>'F6'!A70</f>
        <v>58</v>
      </c>
      <c r="R61" s="377">
        <f>'F6'!M70</f>
        <v>8.456659619450317</v>
      </c>
      <c r="S61" s="102"/>
      <c r="T61" s="103"/>
      <c r="U61" s="385"/>
      <c r="V61" s="378"/>
      <c r="W61" s="5"/>
      <c r="X61" s="376">
        <f>F10_form_validator!A64</f>
        <v>58</v>
      </c>
      <c r="Y61" s="377">
        <f>F10_form_validator!M64</f>
        <v>6.3424947145877377</v>
      </c>
      <c r="Z61" s="102"/>
      <c r="AA61" s="103"/>
      <c r="AB61" s="385"/>
      <c r="AC61" s="378"/>
      <c r="AE61" s="563">
        <f>F10_form_validator!A64</f>
        <v>58</v>
      </c>
      <c r="AF61" s="564">
        <f>F10_form_validator!N64</f>
        <v>7.3995771670190269</v>
      </c>
      <c r="AG61" s="563"/>
      <c r="AH61" s="563"/>
      <c r="AI61" s="563"/>
      <c r="AJ61" s="563"/>
    </row>
    <row r="62" spans="1:36" x14ac:dyDescent="0.25">
      <c r="A62" s="384">
        <v>59</v>
      </c>
      <c r="B62" s="378">
        <v>4.2283298097251585</v>
      </c>
      <c r="C62" s="102"/>
      <c r="D62" s="103"/>
      <c r="E62" s="385"/>
      <c r="F62" s="378"/>
      <c r="H62" s="15"/>
      <c r="I62" s="15"/>
      <c r="J62" s="15"/>
      <c r="K62" s="15"/>
      <c r="Q62" s="376">
        <f>'F6'!A71</f>
        <v>59</v>
      </c>
      <c r="R62" s="377">
        <f>'F6'!M71</f>
        <v>4.2283298097251585</v>
      </c>
      <c r="S62" s="102"/>
      <c r="T62" s="103"/>
      <c r="U62" s="385"/>
      <c r="V62" s="378"/>
      <c r="W62" s="5"/>
      <c r="X62" s="376">
        <f>F10_form_validator!A65</f>
        <v>59</v>
      </c>
      <c r="Y62" s="377">
        <f>F10_form_validator!M65</f>
        <v>3.1712473572938689</v>
      </c>
      <c r="Z62" s="102"/>
      <c r="AA62" s="103"/>
      <c r="AB62" s="385"/>
      <c r="AC62" s="378"/>
      <c r="AE62" s="563">
        <f>F10_form_validator!A65</f>
        <v>59</v>
      </c>
      <c r="AF62" s="564">
        <f>F10_form_validator!N65</f>
        <v>3.6997885835095135</v>
      </c>
      <c r="AG62" s="563"/>
      <c r="AH62" s="563"/>
      <c r="AI62" s="563"/>
      <c r="AJ62" s="563"/>
    </row>
    <row r="63" spans="1:36" x14ac:dyDescent="0.25">
      <c r="A63" s="384">
        <v>60</v>
      </c>
      <c r="B63" s="378">
        <v>4.2283298097251585</v>
      </c>
      <c r="C63" s="102"/>
      <c r="D63" s="103"/>
      <c r="E63" s="385"/>
      <c r="F63" s="378"/>
      <c r="H63" s="15"/>
      <c r="I63" s="15"/>
      <c r="J63" s="15"/>
      <c r="K63" s="15"/>
      <c r="Q63" s="376">
        <f>'F6'!A72</f>
        <v>60</v>
      </c>
      <c r="R63" s="377">
        <f>'F6'!M72</f>
        <v>4.2283298097251585</v>
      </c>
      <c r="S63" s="102"/>
      <c r="T63" s="103"/>
      <c r="U63" s="385"/>
      <c r="V63" s="378"/>
      <c r="W63" s="5"/>
      <c r="X63" s="376">
        <f>F10_form_validator!A66</f>
        <v>60</v>
      </c>
      <c r="Y63" s="377">
        <f>F10_form_validator!M66</f>
        <v>3.1712473572938689</v>
      </c>
      <c r="Z63" s="102"/>
      <c r="AA63" s="103"/>
      <c r="AB63" s="385"/>
      <c r="AC63" s="378"/>
      <c r="AE63" s="563">
        <f>F10_form_validator!A66</f>
        <v>60</v>
      </c>
      <c r="AF63" s="564">
        <f>F10_form_validator!N66</f>
        <v>3.6997885835095135</v>
      </c>
      <c r="AG63" s="563"/>
      <c r="AH63" s="563"/>
      <c r="AI63" s="563"/>
      <c r="AJ63" s="563"/>
    </row>
    <row r="64" spans="1:36" x14ac:dyDescent="0.25">
      <c r="A64" s="384">
        <v>61</v>
      </c>
      <c r="B64" s="378">
        <v>4.2283298097251585</v>
      </c>
      <c r="C64" s="102"/>
      <c r="D64" s="103"/>
      <c r="E64" s="385"/>
      <c r="F64" s="378"/>
      <c r="H64" s="15"/>
      <c r="I64" s="15"/>
      <c r="J64" s="15"/>
      <c r="K64" s="15"/>
      <c r="Q64" s="376">
        <f>'F6'!A73</f>
        <v>61</v>
      </c>
      <c r="R64" s="377">
        <f>'F6'!M73</f>
        <v>4.2283298097251585</v>
      </c>
      <c r="S64" s="102"/>
      <c r="T64" s="103"/>
      <c r="U64" s="385"/>
      <c r="V64" s="378"/>
      <c r="W64" s="5"/>
      <c r="X64" s="376">
        <f>F10_form_validator!A67</f>
        <v>61</v>
      </c>
      <c r="Y64" s="377">
        <f>F10_form_validator!M67</f>
        <v>3.1712473572938689</v>
      </c>
      <c r="Z64" s="102"/>
      <c r="AA64" s="103"/>
      <c r="AB64" s="385"/>
      <c r="AC64" s="378"/>
      <c r="AE64" s="563">
        <f>F10_form_validator!A67</f>
        <v>61</v>
      </c>
      <c r="AF64" s="564">
        <f>F10_form_validator!N67</f>
        <v>3.6997885835095135</v>
      </c>
      <c r="AG64" s="563"/>
      <c r="AH64" s="563"/>
      <c r="AI64" s="563"/>
      <c r="AJ64" s="563"/>
    </row>
    <row r="65" spans="1:36" x14ac:dyDescent="0.25">
      <c r="A65" s="384">
        <v>62</v>
      </c>
      <c r="B65" s="378">
        <v>4.2283298097251585</v>
      </c>
      <c r="C65" s="102"/>
      <c r="D65" s="103"/>
      <c r="E65" s="385"/>
      <c r="F65" s="378"/>
      <c r="H65" s="15"/>
      <c r="I65" s="15"/>
      <c r="J65" s="15"/>
      <c r="K65" s="15"/>
      <c r="Q65" s="376">
        <f>'F6'!A74</f>
        <v>62</v>
      </c>
      <c r="R65" s="377">
        <f>'F6'!M74</f>
        <v>4.2283298097251585</v>
      </c>
      <c r="S65" s="102"/>
      <c r="T65" s="103"/>
      <c r="U65" s="385"/>
      <c r="V65" s="378"/>
      <c r="W65" s="5"/>
      <c r="X65" s="376">
        <f>F10_form_validator!A68</f>
        <v>62</v>
      </c>
      <c r="Y65" s="377">
        <f>F10_form_validator!M68</f>
        <v>3.1712473572938689</v>
      </c>
      <c r="Z65" s="102"/>
      <c r="AA65" s="103"/>
      <c r="AB65" s="385"/>
      <c r="AC65" s="378"/>
      <c r="AE65" s="563">
        <f>F10_form_validator!A68</f>
        <v>62</v>
      </c>
      <c r="AF65" s="564">
        <f>F10_form_validator!N68</f>
        <v>3.6997885835095135</v>
      </c>
      <c r="AG65" s="563"/>
      <c r="AH65" s="563"/>
      <c r="AI65" s="563"/>
      <c r="AJ65" s="563"/>
    </row>
    <row r="66" spans="1:36" x14ac:dyDescent="0.25">
      <c r="A66" s="384">
        <v>63</v>
      </c>
      <c r="B66" s="378">
        <v>2.1141649048625792</v>
      </c>
      <c r="C66" s="102"/>
      <c r="D66" s="103"/>
      <c r="E66" s="385"/>
      <c r="F66" s="378"/>
      <c r="H66" s="15"/>
      <c r="I66" s="15"/>
      <c r="J66" s="15"/>
      <c r="K66" s="15"/>
      <c r="Q66" s="376">
        <f>'F6'!A75</f>
        <v>63</v>
      </c>
      <c r="R66" s="377">
        <f>'F6'!M75</f>
        <v>2.1141649048625792</v>
      </c>
      <c r="S66" s="102"/>
      <c r="T66" s="103"/>
      <c r="U66" s="385"/>
      <c r="V66" s="378"/>
      <c r="W66" s="5"/>
      <c r="X66" s="376">
        <f>F10_form_validator!A69</f>
        <v>63</v>
      </c>
      <c r="Y66" s="377">
        <f>F10_form_validator!M69</f>
        <v>1.5856236786469344</v>
      </c>
      <c r="Z66" s="102"/>
      <c r="AA66" s="103"/>
      <c r="AB66" s="385"/>
      <c r="AC66" s="378"/>
      <c r="AE66" s="563">
        <f>F10_form_validator!A69</f>
        <v>63</v>
      </c>
      <c r="AF66" s="564">
        <f>F10_form_validator!N69</f>
        <v>1.8498942917547567</v>
      </c>
      <c r="AG66" s="563"/>
      <c r="AH66" s="563"/>
      <c r="AI66" s="563"/>
      <c r="AJ66" s="563"/>
    </row>
    <row r="67" spans="1:36" x14ac:dyDescent="0.25">
      <c r="A67" s="384">
        <v>64</v>
      </c>
      <c r="B67" s="378">
        <v>8.456659619450317</v>
      </c>
      <c r="C67" s="102"/>
      <c r="D67" s="103"/>
      <c r="E67" s="385"/>
      <c r="F67" s="378"/>
      <c r="H67" s="15"/>
      <c r="I67" s="15"/>
      <c r="J67" s="15"/>
      <c r="K67" s="15"/>
      <c r="Q67" s="376">
        <f>'F6'!A76</f>
        <v>64</v>
      </c>
      <c r="R67" s="377">
        <f>'F6'!M76</f>
        <v>8.456659619450317</v>
      </c>
      <c r="S67" s="102"/>
      <c r="T67" s="103"/>
      <c r="U67" s="385"/>
      <c r="V67" s="378"/>
      <c r="W67" s="5"/>
      <c r="X67" s="376">
        <f>F10_form_validator!A70</f>
        <v>64</v>
      </c>
      <c r="Y67" s="377">
        <f>F10_form_validator!M70</f>
        <v>6.3424947145877377</v>
      </c>
      <c r="Z67" s="102"/>
      <c r="AA67" s="103"/>
      <c r="AB67" s="385"/>
      <c r="AC67" s="378"/>
      <c r="AE67" s="563">
        <f>F10_form_validator!A70</f>
        <v>64</v>
      </c>
      <c r="AF67" s="564">
        <f>F10_form_validator!N70</f>
        <v>7.3995771670190269</v>
      </c>
      <c r="AG67" s="563"/>
      <c r="AH67" s="563"/>
      <c r="AI67" s="563"/>
      <c r="AJ67" s="563"/>
    </row>
    <row r="68" spans="1:36" x14ac:dyDescent="0.25">
      <c r="A68" s="384">
        <v>65</v>
      </c>
      <c r="B68" s="378">
        <v>12.684989429175474</v>
      </c>
      <c r="C68" s="102"/>
      <c r="D68" s="103"/>
      <c r="E68" s="385"/>
      <c r="F68" s="378"/>
      <c r="H68" s="15"/>
      <c r="I68" s="15"/>
      <c r="J68" s="15"/>
      <c r="K68" s="15"/>
      <c r="Q68" s="376">
        <f>'F6'!A77</f>
        <v>65</v>
      </c>
      <c r="R68" s="377">
        <f>'F6'!M77</f>
        <v>12.684989429175474</v>
      </c>
      <c r="S68" s="102"/>
      <c r="T68" s="103"/>
      <c r="U68" s="387"/>
      <c r="V68" s="103"/>
      <c r="W68" s="5"/>
      <c r="X68" s="376">
        <f>F10_form_validator!A71</f>
        <v>65</v>
      </c>
      <c r="Y68" s="377">
        <f>F10_form_validator!M71</f>
        <v>9.5137420718816053</v>
      </c>
      <c r="Z68" s="102"/>
      <c r="AA68" s="103"/>
      <c r="AB68" s="387"/>
      <c r="AC68" s="103"/>
      <c r="AE68" s="563">
        <f>F10_form_validator!A71</f>
        <v>65</v>
      </c>
      <c r="AF68" s="564">
        <f>F10_form_validator!N71</f>
        <v>11.099365750528539</v>
      </c>
      <c r="AG68" s="563"/>
      <c r="AH68" s="563"/>
      <c r="AI68" s="563"/>
      <c r="AJ68" s="563"/>
    </row>
    <row r="69" spans="1:36" x14ac:dyDescent="0.25">
      <c r="A69" s="384">
        <v>66</v>
      </c>
      <c r="B69" s="378">
        <v>8.456659619450317</v>
      </c>
      <c r="C69" s="102"/>
      <c r="D69" s="103"/>
      <c r="E69" s="385"/>
      <c r="F69" s="378"/>
      <c r="H69" s="15"/>
      <c r="I69" s="15"/>
      <c r="J69" s="15"/>
      <c r="K69" s="15"/>
      <c r="Q69" s="376">
        <f>'F6'!A78</f>
        <v>66</v>
      </c>
      <c r="R69" s="377">
        <f>'F6'!M78</f>
        <v>8.456659619450317</v>
      </c>
      <c r="S69" s="102"/>
      <c r="T69" s="103"/>
      <c r="U69" s="387"/>
      <c r="V69" s="103"/>
      <c r="W69" s="5"/>
      <c r="X69" s="376">
        <f>F10_form_validator!A72</f>
        <v>66</v>
      </c>
      <c r="Y69" s="377">
        <f>F10_form_validator!M72</f>
        <v>6.3424947145877377</v>
      </c>
      <c r="Z69" s="102"/>
      <c r="AA69" s="103"/>
      <c r="AB69" s="387"/>
      <c r="AC69" s="103"/>
      <c r="AE69" s="563">
        <f>F10_form_validator!A72</f>
        <v>66</v>
      </c>
      <c r="AF69" s="564">
        <f>F10_form_validator!N72</f>
        <v>7.3995771670190269</v>
      </c>
      <c r="AG69" s="563"/>
      <c r="AH69" s="563"/>
      <c r="AI69" s="563"/>
      <c r="AJ69" s="563"/>
    </row>
    <row r="70" spans="1:36" x14ac:dyDescent="0.25">
      <c r="A70" s="384">
        <v>67</v>
      </c>
      <c r="B70" s="378">
        <v>12.684989429175474</v>
      </c>
      <c r="C70" s="102"/>
      <c r="D70" s="103"/>
      <c r="E70" s="387"/>
      <c r="F70" s="103"/>
      <c r="H70" s="15"/>
      <c r="I70" s="15"/>
      <c r="J70" s="15"/>
      <c r="K70" s="15"/>
      <c r="Q70" s="376">
        <f>'F6'!A79</f>
        <v>67</v>
      </c>
      <c r="R70" s="377">
        <f>'F6'!M79</f>
        <v>12.684989429175474</v>
      </c>
      <c r="S70" s="102"/>
      <c r="T70" s="103"/>
      <c r="U70" s="387"/>
      <c r="V70" s="103"/>
      <c r="W70" s="5"/>
      <c r="X70" s="376">
        <f>F10_form_validator!A73</f>
        <v>67</v>
      </c>
      <c r="Y70" s="377">
        <f>F10_form_validator!M73</f>
        <v>9.5137420718816053</v>
      </c>
      <c r="Z70" s="102"/>
      <c r="AA70" s="103"/>
      <c r="AB70" s="387"/>
      <c r="AC70" s="103"/>
      <c r="AE70" s="563">
        <f>F10_form_validator!A73</f>
        <v>67</v>
      </c>
      <c r="AF70" s="564">
        <f>F10_form_validator!N73</f>
        <v>11.099365750528539</v>
      </c>
      <c r="AG70" s="563"/>
      <c r="AH70" s="563"/>
      <c r="AI70" s="563"/>
      <c r="AJ70" s="563"/>
    </row>
    <row r="71" spans="1:36" x14ac:dyDescent="0.25">
      <c r="A71" s="384">
        <v>68</v>
      </c>
      <c r="B71" s="378">
        <v>8.456659619450317</v>
      </c>
      <c r="C71" s="102"/>
      <c r="D71" s="103"/>
      <c r="E71" s="387"/>
      <c r="F71" s="103"/>
      <c r="H71" s="15"/>
      <c r="I71" s="15"/>
      <c r="J71" s="15"/>
      <c r="K71" s="15"/>
      <c r="Q71" s="376">
        <f>'F6'!A80</f>
        <v>68</v>
      </c>
      <c r="R71" s="377">
        <f>'F6'!M80</f>
        <v>8.456659619450317</v>
      </c>
      <c r="S71" s="102"/>
      <c r="T71" s="103"/>
      <c r="U71" s="387"/>
      <c r="V71" s="103"/>
      <c r="W71" s="5"/>
      <c r="X71" s="376">
        <f>F10_form_validator!A74</f>
        <v>68</v>
      </c>
      <c r="Y71" s="377">
        <f>F10_form_validator!M74</f>
        <v>6.3424947145877377</v>
      </c>
      <c r="Z71" s="102"/>
      <c r="AA71" s="103"/>
      <c r="AB71" s="387"/>
      <c r="AC71" s="103"/>
      <c r="AE71" s="563">
        <f>F10_form_validator!A74</f>
        <v>68</v>
      </c>
      <c r="AF71" s="564">
        <f>F10_form_validator!N74</f>
        <v>7.3995771670190269</v>
      </c>
      <c r="AG71" s="563"/>
      <c r="AH71" s="563"/>
      <c r="AI71" s="563"/>
      <c r="AJ71" s="563"/>
    </row>
    <row r="72" spans="1:36" x14ac:dyDescent="0.25">
      <c r="A72" s="384">
        <v>69</v>
      </c>
      <c r="B72" s="378">
        <v>5.3156146179401995</v>
      </c>
      <c r="C72" s="102"/>
      <c r="D72" s="103"/>
      <c r="E72" s="387"/>
      <c r="F72" s="103"/>
      <c r="H72" s="15"/>
      <c r="I72" s="15"/>
      <c r="J72" s="15"/>
      <c r="K72" s="15"/>
      <c r="Q72" s="376">
        <f>'F6'!A81</f>
        <v>69</v>
      </c>
      <c r="R72" s="377">
        <f>'F6'!M81</f>
        <v>5.3156146179401995</v>
      </c>
      <c r="S72" s="102"/>
      <c r="T72" s="103"/>
      <c r="U72" s="387"/>
      <c r="V72" s="103"/>
      <c r="W72" s="5"/>
      <c r="X72" s="376">
        <f>F10_form_validator!A75</f>
        <v>69</v>
      </c>
      <c r="Y72" s="377">
        <f>F10_form_validator!M75</f>
        <v>3.9867109634551499</v>
      </c>
      <c r="Z72" s="102"/>
      <c r="AA72" s="103"/>
      <c r="AB72" s="387"/>
      <c r="AC72" s="103"/>
      <c r="AE72" s="563">
        <f>F10_form_validator!A75</f>
        <v>69</v>
      </c>
      <c r="AF72" s="564">
        <f>F10_form_validator!N75</f>
        <v>4.6511627906976747</v>
      </c>
      <c r="AG72" s="563"/>
      <c r="AH72" s="563"/>
      <c r="AI72" s="563"/>
      <c r="AJ72" s="563"/>
    </row>
    <row r="73" spans="1:36" x14ac:dyDescent="0.25">
      <c r="A73" s="384">
        <v>70</v>
      </c>
      <c r="B73" s="378">
        <v>5.3156146179401995</v>
      </c>
      <c r="C73" s="102"/>
      <c r="D73" s="103"/>
      <c r="E73" s="387"/>
      <c r="F73" s="103"/>
      <c r="H73" s="15"/>
      <c r="I73" s="15"/>
      <c r="J73" s="15"/>
      <c r="K73" s="15"/>
      <c r="Q73" s="376">
        <f>'F6'!A82</f>
        <v>70</v>
      </c>
      <c r="R73" s="377">
        <f>'F6'!M82</f>
        <v>5.3156146179401995</v>
      </c>
      <c r="S73" s="102"/>
      <c r="T73" s="103"/>
      <c r="U73" s="387"/>
      <c r="V73" s="103"/>
      <c r="W73" s="5"/>
      <c r="X73" s="376">
        <f>F10_form_validator!A76</f>
        <v>70</v>
      </c>
      <c r="Y73" s="377">
        <f>F10_form_validator!M76</f>
        <v>3.9867109634551499</v>
      </c>
      <c r="Z73" s="102"/>
      <c r="AA73" s="103"/>
      <c r="AB73" s="387"/>
      <c r="AC73" s="103"/>
      <c r="AE73" s="563">
        <f>F10_form_validator!A76</f>
        <v>70</v>
      </c>
      <c r="AF73" s="564">
        <f>F10_form_validator!N76</f>
        <v>4.6511627906976747</v>
      </c>
      <c r="AG73" s="563"/>
      <c r="AH73" s="563"/>
      <c r="AI73" s="563"/>
      <c r="AJ73" s="563"/>
    </row>
    <row r="74" spans="1:36" x14ac:dyDescent="0.25">
      <c r="A74" s="384">
        <v>71</v>
      </c>
      <c r="B74" s="378">
        <v>5.3156146179401995</v>
      </c>
      <c r="C74" s="102"/>
      <c r="D74" s="103"/>
      <c r="E74" s="387"/>
      <c r="F74" s="103"/>
      <c r="H74" s="15"/>
      <c r="I74" s="15"/>
      <c r="J74" s="15"/>
      <c r="K74" s="15"/>
      <c r="Q74" s="376">
        <f>'F6'!A83</f>
        <v>71</v>
      </c>
      <c r="R74" s="377">
        <f>'F6'!M83</f>
        <v>5.3156146179401995</v>
      </c>
      <c r="S74" s="102"/>
      <c r="T74" s="103"/>
      <c r="U74" s="387"/>
      <c r="V74" s="103"/>
      <c r="W74" s="5"/>
      <c r="X74" s="376">
        <f>F10_form_validator!A77</f>
        <v>71</v>
      </c>
      <c r="Y74" s="377">
        <f>F10_form_validator!M77</f>
        <v>3.9867109634551499</v>
      </c>
      <c r="Z74" s="102"/>
      <c r="AA74" s="103"/>
      <c r="AB74" s="387"/>
      <c r="AC74" s="103"/>
      <c r="AE74" s="563">
        <f>F10_form_validator!A77</f>
        <v>71</v>
      </c>
      <c r="AF74" s="564">
        <f>F10_form_validator!N77</f>
        <v>4.6511627906976747</v>
      </c>
      <c r="AG74" s="563"/>
      <c r="AH74" s="563"/>
      <c r="AI74" s="563"/>
      <c r="AJ74" s="563"/>
    </row>
    <row r="75" spans="1:36" x14ac:dyDescent="0.25">
      <c r="A75" s="384">
        <v>72</v>
      </c>
      <c r="B75" s="378">
        <v>5.3156146179401995</v>
      </c>
      <c r="C75" s="102"/>
      <c r="D75" s="103"/>
      <c r="E75" s="387"/>
      <c r="F75" s="103"/>
      <c r="H75" s="15"/>
      <c r="I75" s="15"/>
      <c r="J75" s="15"/>
      <c r="K75" s="15"/>
      <c r="Q75" s="376">
        <f>'F6'!A84</f>
        <v>72</v>
      </c>
      <c r="R75" s="377">
        <f>'F6'!M84</f>
        <v>5.3156146179401995</v>
      </c>
      <c r="S75" s="102"/>
      <c r="T75" s="103"/>
      <c r="U75" s="387"/>
      <c r="V75" s="103"/>
      <c r="W75" s="5"/>
      <c r="X75" s="376">
        <f>F10_form_validator!A78</f>
        <v>72</v>
      </c>
      <c r="Y75" s="377">
        <f>F10_form_validator!M78</f>
        <v>3.9867109634551499</v>
      </c>
      <c r="Z75" s="102"/>
      <c r="AA75" s="103"/>
      <c r="AB75" s="387"/>
      <c r="AC75" s="103"/>
      <c r="AE75" s="563">
        <f>F10_form_validator!A78</f>
        <v>72</v>
      </c>
      <c r="AF75" s="564">
        <f>F10_form_validator!N78</f>
        <v>4.6511627906976747</v>
      </c>
      <c r="AG75" s="563"/>
      <c r="AH75" s="563"/>
      <c r="AI75" s="563"/>
      <c r="AJ75" s="563"/>
    </row>
    <row r="76" spans="1:36" x14ac:dyDescent="0.25">
      <c r="A76" s="384">
        <v>73</v>
      </c>
      <c r="B76" s="378">
        <v>5.3156146179401995</v>
      </c>
      <c r="C76" s="102"/>
      <c r="D76" s="103"/>
      <c r="E76" s="387"/>
      <c r="F76" s="103"/>
      <c r="H76" s="15"/>
      <c r="I76" s="15"/>
      <c r="J76" s="15"/>
      <c r="K76" s="15"/>
      <c r="Q76" s="376">
        <f>'F6'!A85</f>
        <v>73</v>
      </c>
      <c r="R76" s="377">
        <f>'F6'!M85</f>
        <v>5.3156146179401995</v>
      </c>
      <c r="S76" s="102"/>
      <c r="T76" s="103"/>
      <c r="U76" s="387"/>
      <c r="V76" s="103"/>
      <c r="W76" s="5"/>
      <c r="X76" s="376">
        <f>F10_form_validator!A79</f>
        <v>73</v>
      </c>
      <c r="Y76" s="377">
        <f>F10_form_validator!M79</f>
        <v>3.9867109634551499</v>
      </c>
      <c r="Z76" s="102"/>
      <c r="AA76" s="103"/>
      <c r="AB76" s="387"/>
      <c r="AC76" s="103"/>
      <c r="AE76" s="563">
        <f>F10_form_validator!A79</f>
        <v>73</v>
      </c>
      <c r="AF76" s="564">
        <f>F10_form_validator!N79</f>
        <v>4.6511627906976747</v>
      </c>
      <c r="AG76" s="563"/>
      <c r="AH76" s="563"/>
      <c r="AI76" s="563"/>
      <c r="AJ76" s="563"/>
    </row>
    <row r="77" spans="1:36" x14ac:dyDescent="0.25">
      <c r="A77" s="384">
        <v>74</v>
      </c>
      <c r="B77" s="378">
        <v>5.3156146179401995</v>
      </c>
      <c r="C77" s="102"/>
      <c r="D77" s="103"/>
      <c r="E77" s="387"/>
      <c r="F77" s="103"/>
      <c r="H77" s="15"/>
      <c r="I77" s="15"/>
      <c r="J77" s="15"/>
      <c r="K77" s="15"/>
      <c r="Q77" s="376">
        <f>'F6'!A86</f>
        <v>74</v>
      </c>
      <c r="R77" s="377">
        <f>'F6'!M86</f>
        <v>5.3156146179401995</v>
      </c>
      <c r="S77" s="102"/>
      <c r="T77" s="103"/>
      <c r="U77" s="387"/>
      <c r="V77" s="103"/>
      <c r="W77" s="5"/>
      <c r="X77" s="376">
        <f>F10_form_validator!A80</f>
        <v>74</v>
      </c>
      <c r="Y77" s="377">
        <f>F10_form_validator!M80</f>
        <v>3.9867109634551499</v>
      </c>
      <c r="Z77" s="102"/>
      <c r="AA77" s="103"/>
      <c r="AB77" s="387"/>
      <c r="AC77" s="103"/>
      <c r="AE77" s="563">
        <f>F10_form_validator!A80</f>
        <v>74</v>
      </c>
      <c r="AF77" s="564">
        <f>F10_form_validator!N80</f>
        <v>4.6511627906976747</v>
      </c>
      <c r="AG77" s="563"/>
      <c r="AH77" s="563"/>
      <c r="AI77" s="563"/>
      <c r="AJ77" s="563"/>
    </row>
    <row r="78" spans="1:36" ht="15.75" thickBot="1" x14ac:dyDescent="0.3">
      <c r="A78" s="384">
        <v>75</v>
      </c>
      <c r="B78" s="378">
        <v>5.3156146179401995</v>
      </c>
      <c r="C78" s="102"/>
      <c r="D78" s="103"/>
      <c r="E78" s="387"/>
      <c r="F78" s="103"/>
      <c r="H78" s="15"/>
      <c r="I78" s="15"/>
      <c r="J78" s="15"/>
      <c r="K78" s="15"/>
      <c r="Q78" s="376">
        <f>'F6'!A87</f>
        <v>75</v>
      </c>
      <c r="R78" s="377">
        <f>'F6'!M87</f>
        <v>5.3156146179401995</v>
      </c>
      <c r="S78" s="102"/>
      <c r="T78" s="103"/>
      <c r="U78" s="387"/>
      <c r="V78" s="103"/>
      <c r="W78" s="5"/>
      <c r="X78" s="376">
        <f>F10_form_validator!A81</f>
        <v>75</v>
      </c>
      <c r="Y78" s="377">
        <f>F10_form_validator!M81</f>
        <v>3.9867109634551499</v>
      </c>
      <c r="Z78" s="104"/>
      <c r="AA78" s="105"/>
      <c r="AB78" s="387"/>
      <c r="AC78" s="103"/>
      <c r="AE78" s="563">
        <f>F10_form_validator!A81</f>
        <v>75</v>
      </c>
      <c r="AF78" s="564">
        <f>F10_form_validator!N81</f>
        <v>4.6511627906976747</v>
      </c>
      <c r="AG78" s="563"/>
      <c r="AH78" s="563"/>
      <c r="AI78" s="563"/>
      <c r="AJ78" s="563"/>
    </row>
    <row r="79" spans="1:36" ht="16.5" thickBot="1" x14ac:dyDescent="0.3">
      <c r="A79" s="388"/>
      <c r="B79" s="381">
        <f>SUM(B4:B78)</f>
        <v>399.99999999999977</v>
      </c>
      <c r="C79" s="388"/>
      <c r="D79" s="381">
        <f>SUM(D4:D78)</f>
        <v>400</v>
      </c>
      <c r="E79" s="389"/>
      <c r="F79" s="381">
        <f>SUM(F4:F78)</f>
        <v>399.99999999999989</v>
      </c>
      <c r="H79" s="15"/>
      <c r="I79" s="15"/>
      <c r="J79" s="15"/>
      <c r="K79" s="15"/>
      <c r="Q79" s="382"/>
      <c r="R79" s="381">
        <f>SUM(R4:R78)</f>
        <v>399.99999999999977</v>
      </c>
      <c r="S79" s="383"/>
      <c r="T79" s="381">
        <f>SUM(T4:T78)</f>
        <v>400</v>
      </c>
      <c r="U79" s="391"/>
      <c r="V79" s="381">
        <f>SUM(V4:V78)</f>
        <v>399.99999999999989</v>
      </c>
      <c r="W79" s="5"/>
      <c r="X79" s="382"/>
      <c r="Y79" s="381">
        <f>SUM(Y4:Y78)</f>
        <v>300</v>
      </c>
      <c r="Z79" s="383"/>
      <c r="AA79" s="381">
        <f>SUM(AA4:AA78)</f>
        <v>300</v>
      </c>
      <c r="AB79" s="383"/>
      <c r="AC79" s="381">
        <f>SUM(AC4:AC78)</f>
        <v>299.99999999999994</v>
      </c>
      <c r="AE79" s="582"/>
      <c r="AF79" s="582">
        <f>SUM(AF4:AF78)</f>
        <v>350.00000000000011</v>
      </c>
      <c r="AG79" s="582"/>
      <c r="AH79" s="582">
        <f>SUM(AH4:AH78)</f>
        <v>350</v>
      </c>
      <c r="AI79" s="582"/>
      <c r="AJ79" s="582">
        <f>SUM(AJ4:AJ78)</f>
        <v>349.99999999999977</v>
      </c>
    </row>
    <row r="80" spans="1:36" x14ac:dyDescent="0.25">
      <c r="A80" s="15"/>
      <c r="B80" s="15"/>
      <c r="D80" s="15"/>
      <c r="F80" s="15"/>
      <c r="H80" s="15"/>
      <c r="I80" s="15"/>
      <c r="J80" s="15"/>
      <c r="K80" s="15"/>
    </row>
  </sheetData>
  <sheetProtection formatCells="0" formatColumns="0" formatRows="0"/>
  <mergeCells count="47">
    <mergeCell ref="H34:L34"/>
    <mergeCell ref="H35:L35"/>
    <mergeCell ref="H36:L36"/>
    <mergeCell ref="H37:N37"/>
    <mergeCell ref="H38:L38"/>
    <mergeCell ref="M38:O38"/>
    <mergeCell ref="H33:L33"/>
    <mergeCell ref="H18:L18"/>
    <mergeCell ref="M18:O18"/>
    <mergeCell ref="H22:O22"/>
    <mergeCell ref="H23:L23"/>
    <mergeCell ref="H24:L24"/>
    <mergeCell ref="H25:L25"/>
    <mergeCell ref="H26:L26"/>
    <mergeCell ref="H27:N27"/>
    <mergeCell ref="H28:L28"/>
    <mergeCell ref="M28:O28"/>
    <mergeCell ref="H32:O32"/>
    <mergeCell ref="H17:N17"/>
    <mergeCell ref="H3:L3"/>
    <mergeCell ref="H4:L4"/>
    <mergeCell ref="H5:L5"/>
    <mergeCell ref="H6:L6"/>
    <mergeCell ref="H7:N7"/>
    <mergeCell ref="H8:L8"/>
    <mergeCell ref="M8:O8"/>
    <mergeCell ref="H12:O12"/>
    <mergeCell ref="H13:L13"/>
    <mergeCell ref="H14:L14"/>
    <mergeCell ref="H15:L15"/>
    <mergeCell ref="H16:L16"/>
    <mergeCell ref="AI2:AJ2"/>
    <mergeCell ref="A1:F1"/>
    <mergeCell ref="Q1:V1"/>
    <mergeCell ref="X1:AC1"/>
    <mergeCell ref="A2:B2"/>
    <mergeCell ref="C2:D2"/>
    <mergeCell ref="E2:F2"/>
    <mergeCell ref="H2:O2"/>
    <mergeCell ref="Q2:R2"/>
    <mergeCell ref="S2:T2"/>
    <mergeCell ref="U2:V2"/>
    <mergeCell ref="X2:Y2"/>
    <mergeCell ref="Z2:AA2"/>
    <mergeCell ref="AB2:AC2"/>
    <mergeCell ref="AE2:AF2"/>
    <mergeCell ref="AG2:AH2"/>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5"/>
  <sheetViews>
    <sheetView topLeftCell="D1" zoomScale="85" zoomScaleNormal="85" workbookViewId="0">
      <selection activeCell="H4" sqref="H4:L4"/>
    </sheetView>
  </sheetViews>
  <sheetFormatPr defaultRowHeight="15" x14ac:dyDescent="0.25"/>
  <cols>
    <col min="1" max="1" width="5.85546875" style="2" customWidth="1"/>
    <col min="2" max="2" width="10.140625" style="5" customWidth="1"/>
    <col min="3" max="3" width="32.5703125" style="2" customWidth="1"/>
    <col min="4" max="4" width="34.5703125" style="2" customWidth="1"/>
    <col min="5" max="5" width="27.28515625" style="2" customWidth="1"/>
    <col min="6" max="6" width="26" style="2" customWidth="1"/>
    <col min="7" max="7" width="9.140625" style="15"/>
    <col min="8" max="8" width="11.7109375" style="15" customWidth="1"/>
    <col min="9" max="9" width="26.85546875" style="15" customWidth="1"/>
    <col min="10" max="10" width="16.42578125" style="603" customWidth="1"/>
    <col min="11" max="11" width="11.7109375" style="15" customWidth="1"/>
    <col min="12" max="12" width="9.140625" style="15"/>
    <col min="13" max="13" width="15.140625" style="15" customWidth="1"/>
    <col min="14" max="14" width="16.5703125" style="15" customWidth="1"/>
    <col min="15" max="16384" width="9.140625" style="15"/>
  </cols>
  <sheetData>
    <row r="1" spans="1:20" s="39" customFormat="1" ht="33.75" customHeight="1" x14ac:dyDescent="0.25">
      <c r="A1" s="722" t="s">
        <v>1003</v>
      </c>
      <c r="B1" s="722"/>
      <c r="C1" s="722"/>
      <c r="D1" s="722"/>
      <c r="E1" s="722"/>
      <c r="F1" s="722"/>
      <c r="G1" s="722"/>
      <c r="H1" s="469"/>
      <c r="I1" s="469"/>
      <c r="J1" s="583"/>
    </row>
    <row r="2" spans="1:20" s="39" customFormat="1" ht="15.75" x14ac:dyDescent="0.25">
      <c r="A2" s="50"/>
      <c r="B2" s="44"/>
      <c r="C2" s="42"/>
      <c r="D2" s="42"/>
      <c r="E2" s="42"/>
      <c r="F2" s="42"/>
      <c r="J2" s="583"/>
    </row>
    <row r="3" spans="1:20" s="39" customFormat="1" ht="36.75" customHeight="1" x14ac:dyDescent="0.25">
      <c r="A3" s="751" t="s">
        <v>1008</v>
      </c>
      <c r="B3" s="751"/>
      <c r="C3" s="751"/>
      <c r="D3" s="751"/>
      <c r="E3" s="751"/>
      <c r="F3" s="751"/>
      <c r="G3" s="751"/>
      <c r="H3" s="474"/>
      <c r="I3" s="474"/>
      <c r="J3" s="583"/>
    </row>
    <row r="4" spans="1:20" s="39" customFormat="1" ht="50.25" customHeight="1" x14ac:dyDescent="0.25">
      <c r="A4" s="743" t="s">
        <v>1050</v>
      </c>
      <c r="B4" s="743"/>
      <c r="C4" s="743"/>
      <c r="D4" s="743"/>
      <c r="E4" s="743"/>
      <c r="F4" s="743"/>
      <c r="G4" s="743"/>
      <c r="H4" s="471"/>
      <c r="I4" s="471"/>
      <c r="J4" s="583"/>
      <c r="K4" s="161"/>
      <c r="L4" s="161"/>
      <c r="M4" s="161"/>
      <c r="N4" s="161"/>
      <c r="O4" s="161"/>
      <c r="P4" s="161"/>
      <c r="Q4" s="161"/>
      <c r="R4" s="161"/>
      <c r="S4" s="161"/>
    </row>
    <row r="5" spans="1:20" s="39" customFormat="1" ht="39.75" customHeight="1" thickBot="1" x14ac:dyDescent="0.3">
      <c r="A5" s="876" t="s">
        <v>86</v>
      </c>
      <c r="B5" s="876"/>
      <c r="C5" s="876"/>
      <c r="D5" s="876"/>
      <c r="E5" s="744"/>
      <c r="F5" s="744"/>
      <c r="G5" s="744"/>
      <c r="H5" s="472"/>
      <c r="I5" s="472"/>
      <c r="J5" s="394"/>
      <c r="K5" s="94"/>
      <c r="L5" s="875"/>
      <c r="M5" s="875"/>
      <c r="N5" s="94"/>
      <c r="O5" s="94"/>
      <c r="P5" s="94"/>
      <c r="Q5" s="94"/>
      <c r="R5" s="94"/>
      <c r="S5" s="94"/>
      <c r="T5" s="94"/>
    </row>
    <row r="6" spans="1:20" s="30" customFormat="1" ht="65.25" customHeight="1" thickBot="1" x14ac:dyDescent="0.3">
      <c r="A6" s="112" t="s">
        <v>1</v>
      </c>
      <c r="B6" s="123" t="s">
        <v>2</v>
      </c>
      <c r="C6" s="123" t="s">
        <v>4</v>
      </c>
      <c r="D6" s="123" t="s">
        <v>87</v>
      </c>
      <c r="E6" s="476" t="s">
        <v>1095</v>
      </c>
      <c r="F6" s="476" t="s">
        <v>1096</v>
      </c>
      <c r="G6" s="476" t="s">
        <v>216</v>
      </c>
      <c r="H6" s="476" t="s">
        <v>1097</v>
      </c>
      <c r="I6" s="476" t="s">
        <v>1098</v>
      </c>
      <c r="J6" s="584" t="s">
        <v>1099</v>
      </c>
      <c r="K6" s="585"/>
      <c r="L6" s="423" t="s">
        <v>5</v>
      </c>
      <c r="M6" s="586" t="s">
        <v>1100</v>
      </c>
      <c r="N6" s="586" t="s">
        <v>1101</v>
      </c>
    </row>
    <row r="7" spans="1:20" s="30" customFormat="1" ht="67.5" customHeight="1" x14ac:dyDescent="0.25">
      <c r="A7" s="126">
        <v>1</v>
      </c>
      <c r="B7" s="183" t="s">
        <v>64</v>
      </c>
      <c r="C7" s="115" t="s">
        <v>934</v>
      </c>
      <c r="D7" s="115">
        <v>0</v>
      </c>
      <c r="E7" s="456"/>
      <c r="F7" s="456"/>
      <c r="G7" s="587">
        <f>'F6'!F13</f>
        <v>4</v>
      </c>
      <c r="H7" s="588">
        <v>3</v>
      </c>
      <c r="I7" s="588"/>
      <c r="J7" s="589">
        <v>3.5</v>
      </c>
      <c r="L7" s="399">
        <v>0.77519379844961245</v>
      </c>
      <c r="M7" s="398">
        <f>H7*L7</f>
        <v>2.3255813953488373</v>
      </c>
      <c r="N7" s="398">
        <f>J7*$L7</f>
        <v>2.7131782945736438</v>
      </c>
    </row>
    <row r="8" spans="1:20" s="30" customFormat="1" ht="74.25" customHeight="1" x14ac:dyDescent="0.25">
      <c r="A8" s="126">
        <v>2</v>
      </c>
      <c r="B8" s="183" t="s">
        <v>65</v>
      </c>
      <c r="C8" s="115" t="s">
        <v>249</v>
      </c>
      <c r="D8" s="115">
        <v>0</v>
      </c>
      <c r="E8" s="456"/>
      <c r="F8" s="456"/>
      <c r="G8" s="587">
        <f>'F6'!F14</f>
        <v>4</v>
      </c>
      <c r="H8" s="588">
        <v>3</v>
      </c>
      <c r="I8" s="588"/>
      <c r="J8" s="589">
        <v>3.5</v>
      </c>
      <c r="L8" s="399">
        <v>0.77519379844961245</v>
      </c>
      <c r="M8" s="398">
        <f t="shared" ref="M8:M71" si="0">H8*L8</f>
        <v>2.3255813953488373</v>
      </c>
      <c r="N8" s="398">
        <f t="shared" ref="N8:N71" si="1">J8*$L8</f>
        <v>2.7131782945736438</v>
      </c>
    </row>
    <row r="9" spans="1:20" s="30" customFormat="1" ht="96" customHeight="1" x14ac:dyDescent="0.25">
      <c r="A9" s="126">
        <v>3</v>
      </c>
      <c r="B9" s="183">
        <v>1.2</v>
      </c>
      <c r="C9" s="115" t="s">
        <v>250</v>
      </c>
      <c r="D9" s="115">
        <v>0</v>
      </c>
      <c r="E9" s="456"/>
      <c r="F9" s="456"/>
      <c r="G9" s="587">
        <f>'F6'!F15</f>
        <v>4</v>
      </c>
      <c r="H9" s="588">
        <v>3</v>
      </c>
      <c r="I9" s="588"/>
      <c r="J9" s="589">
        <v>3.5</v>
      </c>
      <c r="L9" s="399">
        <v>0.77519379844961245</v>
      </c>
      <c r="M9" s="398">
        <f t="shared" si="0"/>
        <v>2.3255813953488373</v>
      </c>
      <c r="N9" s="398">
        <f t="shared" si="1"/>
        <v>2.7131782945736438</v>
      </c>
    </row>
    <row r="10" spans="1:20" s="30" customFormat="1" ht="63.75" customHeight="1" x14ac:dyDescent="0.25">
      <c r="A10" s="126">
        <v>4</v>
      </c>
      <c r="B10" s="183">
        <v>2.1</v>
      </c>
      <c r="C10" s="115" t="s">
        <v>251</v>
      </c>
      <c r="D10" s="115">
        <v>0</v>
      </c>
      <c r="E10" s="456"/>
      <c r="F10" s="456"/>
      <c r="G10" s="587">
        <f>'F6'!F16</f>
        <v>4</v>
      </c>
      <c r="H10" s="588">
        <v>3</v>
      </c>
      <c r="I10" s="588"/>
      <c r="J10" s="589">
        <v>3.5</v>
      </c>
      <c r="L10" s="399">
        <v>0.77519379844961245</v>
      </c>
      <c r="M10" s="398">
        <f t="shared" si="0"/>
        <v>2.3255813953488373</v>
      </c>
      <c r="N10" s="398">
        <f t="shared" si="1"/>
        <v>2.7131782945736438</v>
      </c>
    </row>
    <row r="11" spans="1:20" s="30" customFormat="1" ht="66" customHeight="1" x14ac:dyDescent="0.25">
      <c r="A11" s="126">
        <v>5</v>
      </c>
      <c r="B11" s="183" t="s">
        <v>322</v>
      </c>
      <c r="C11" s="115" t="s">
        <v>324</v>
      </c>
      <c r="D11" s="115">
        <v>0</v>
      </c>
      <c r="E11" s="456"/>
      <c r="F11" s="456"/>
      <c r="G11" s="587">
        <f>'F6'!F17</f>
        <v>4</v>
      </c>
      <c r="H11" s="588">
        <v>3</v>
      </c>
      <c r="I11" s="588"/>
      <c r="J11" s="589">
        <v>3.5</v>
      </c>
      <c r="L11" s="399">
        <v>0.77519379844961245</v>
      </c>
      <c r="M11" s="398">
        <f t="shared" si="0"/>
        <v>2.3255813953488373</v>
      </c>
      <c r="N11" s="398">
        <f t="shared" si="1"/>
        <v>2.7131782945736438</v>
      </c>
    </row>
    <row r="12" spans="1:20" s="30" customFormat="1" ht="65.25" customHeight="1" x14ac:dyDescent="0.25">
      <c r="A12" s="126">
        <v>6</v>
      </c>
      <c r="B12" s="183" t="s">
        <v>326</v>
      </c>
      <c r="C12" s="115" t="s">
        <v>328</v>
      </c>
      <c r="D12" s="115">
        <v>0</v>
      </c>
      <c r="E12" s="456"/>
      <c r="F12" s="456"/>
      <c r="G12" s="587">
        <f>'F6'!F18</f>
        <v>4</v>
      </c>
      <c r="H12" s="590">
        <v>3</v>
      </c>
      <c r="I12" s="590"/>
      <c r="J12" s="591">
        <v>3.5</v>
      </c>
      <c r="K12" s="486"/>
      <c r="L12" s="592">
        <v>0.38759689922480622</v>
      </c>
      <c r="M12" s="593">
        <f t="shared" si="0"/>
        <v>1.1627906976744187</v>
      </c>
      <c r="N12" s="593">
        <f t="shared" si="1"/>
        <v>1.3565891472868219</v>
      </c>
      <c r="O12" s="486"/>
    </row>
    <row r="13" spans="1:20" s="30" customFormat="1" ht="69.75" customHeight="1" x14ac:dyDescent="0.25">
      <c r="A13" s="126">
        <v>7</v>
      </c>
      <c r="B13" s="183" t="s">
        <v>331</v>
      </c>
      <c r="C13" s="115" t="s">
        <v>252</v>
      </c>
      <c r="D13" s="115">
        <v>0</v>
      </c>
      <c r="E13" s="456"/>
      <c r="F13" s="456"/>
      <c r="G13" s="587">
        <f>'F6'!F19</f>
        <v>4</v>
      </c>
      <c r="H13" s="590">
        <v>3</v>
      </c>
      <c r="I13" s="590"/>
      <c r="J13" s="591">
        <v>3.5</v>
      </c>
      <c r="K13" s="486"/>
      <c r="L13" s="592">
        <v>0.38759689922480622</v>
      </c>
      <c r="M13" s="593">
        <f t="shared" si="0"/>
        <v>1.1627906976744187</v>
      </c>
      <c r="N13" s="593">
        <f t="shared" si="1"/>
        <v>1.3565891472868219</v>
      </c>
      <c r="O13" s="486"/>
    </row>
    <row r="14" spans="1:20" s="30" customFormat="1" ht="69" customHeight="1" x14ac:dyDescent="0.25">
      <c r="A14" s="126">
        <v>8</v>
      </c>
      <c r="B14" s="183">
        <v>2.2999999999999998</v>
      </c>
      <c r="C14" s="115" t="s">
        <v>253</v>
      </c>
      <c r="D14" s="115">
        <v>0</v>
      </c>
      <c r="E14" s="456"/>
      <c r="F14" s="456"/>
      <c r="G14" s="587">
        <f>'F6'!F20</f>
        <v>4</v>
      </c>
      <c r="H14" s="590">
        <v>3</v>
      </c>
      <c r="I14" s="590"/>
      <c r="J14" s="591">
        <v>3.5</v>
      </c>
      <c r="K14" s="486"/>
      <c r="L14" s="592">
        <v>0.77519379844961245</v>
      </c>
      <c r="M14" s="593">
        <f t="shared" si="0"/>
        <v>2.3255813953488373</v>
      </c>
      <c r="N14" s="593">
        <f t="shared" si="1"/>
        <v>2.7131782945736438</v>
      </c>
      <c r="O14" s="486"/>
    </row>
    <row r="15" spans="1:20" s="30" customFormat="1" ht="66.75" customHeight="1" x14ac:dyDescent="0.25">
      <c r="A15" s="126">
        <v>9</v>
      </c>
      <c r="B15" s="183">
        <v>2.4</v>
      </c>
      <c r="C15" s="115" t="s">
        <v>254</v>
      </c>
      <c r="D15" s="115">
        <v>0</v>
      </c>
      <c r="E15" s="456"/>
      <c r="F15" s="456"/>
      <c r="G15" s="587">
        <f>'F6'!F21</f>
        <v>4</v>
      </c>
      <c r="H15" s="590">
        <v>3</v>
      </c>
      <c r="I15" s="590"/>
      <c r="J15" s="591">
        <v>3.5</v>
      </c>
      <c r="K15" s="486"/>
      <c r="L15" s="592">
        <v>0.77519379844961245</v>
      </c>
      <c r="M15" s="593">
        <f t="shared" si="0"/>
        <v>2.3255813953488373</v>
      </c>
      <c r="N15" s="593">
        <f t="shared" si="1"/>
        <v>2.7131782945736438</v>
      </c>
      <c r="O15" s="486"/>
    </row>
    <row r="16" spans="1:20" s="30" customFormat="1" ht="66" customHeight="1" x14ac:dyDescent="0.25">
      <c r="A16" s="126">
        <v>10</v>
      </c>
      <c r="B16" s="183">
        <v>2.5</v>
      </c>
      <c r="C16" s="115" t="s">
        <v>256</v>
      </c>
      <c r="D16" s="115">
        <v>0</v>
      </c>
      <c r="E16" s="456"/>
      <c r="F16" s="456"/>
      <c r="G16" s="587">
        <f>'F6'!F22</f>
        <v>4</v>
      </c>
      <c r="H16" s="590">
        <v>3</v>
      </c>
      <c r="I16" s="590"/>
      <c r="J16" s="591">
        <v>3.5</v>
      </c>
      <c r="K16" s="486"/>
      <c r="L16" s="592">
        <v>0.38759689922480622</v>
      </c>
      <c r="M16" s="593">
        <f t="shared" si="0"/>
        <v>1.1627906976744187</v>
      </c>
      <c r="N16" s="593">
        <f t="shared" si="1"/>
        <v>1.3565891472868219</v>
      </c>
      <c r="O16" s="486"/>
    </row>
    <row r="17" spans="1:15" s="30" customFormat="1" ht="77.25" customHeight="1" x14ac:dyDescent="0.25">
      <c r="A17" s="126">
        <v>11</v>
      </c>
      <c r="B17" s="183">
        <v>2.6</v>
      </c>
      <c r="C17" s="115" t="s">
        <v>255</v>
      </c>
      <c r="D17" s="115">
        <v>0</v>
      </c>
      <c r="E17" s="456"/>
      <c r="F17" s="456"/>
      <c r="G17" s="587">
        <f>'F6'!F23</f>
        <v>4</v>
      </c>
      <c r="H17" s="590">
        <v>3</v>
      </c>
      <c r="I17" s="590"/>
      <c r="J17" s="591">
        <v>3.5</v>
      </c>
      <c r="K17" s="486"/>
      <c r="L17" s="592">
        <v>0.38759689922480622</v>
      </c>
      <c r="M17" s="593">
        <f t="shared" si="0"/>
        <v>1.1627906976744187</v>
      </c>
      <c r="N17" s="593">
        <f t="shared" si="1"/>
        <v>1.3565891472868219</v>
      </c>
      <c r="O17" s="486"/>
    </row>
    <row r="18" spans="1:15" s="30" customFormat="1" ht="72.75" customHeight="1" x14ac:dyDescent="0.25">
      <c r="A18" s="126">
        <v>12</v>
      </c>
      <c r="B18" s="183">
        <v>3.1</v>
      </c>
      <c r="C18" s="115" t="s">
        <v>257</v>
      </c>
      <c r="D18" s="115">
        <v>0</v>
      </c>
      <c r="E18" s="456"/>
      <c r="F18" s="456"/>
      <c r="G18" s="587">
        <f>'F6'!F24</f>
        <v>4</v>
      </c>
      <c r="H18" s="590">
        <v>3</v>
      </c>
      <c r="I18" s="590"/>
      <c r="J18" s="591">
        <v>3.5</v>
      </c>
      <c r="K18" s="486"/>
      <c r="L18" s="592">
        <v>1.2133468149646107</v>
      </c>
      <c r="M18" s="593">
        <f t="shared" si="0"/>
        <v>3.6400404448938319</v>
      </c>
      <c r="N18" s="593">
        <f t="shared" si="1"/>
        <v>4.2467138523761374</v>
      </c>
      <c r="O18" s="486"/>
    </row>
    <row r="19" spans="1:15" s="30" customFormat="1" ht="51.75" customHeight="1" x14ac:dyDescent="0.25">
      <c r="A19" s="126">
        <v>13</v>
      </c>
      <c r="B19" s="183" t="s">
        <v>149</v>
      </c>
      <c r="C19" s="115" t="s">
        <v>1131</v>
      </c>
      <c r="D19" s="115">
        <v>0</v>
      </c>
      <c r="E19" s="456"/>
      <c r="F19" s="456"/>
      <c r="G19" s="587">
        <f>'F6'!F25</f>
        <v>4</v>
      </c>
      <c r="H19" s="588">
        <v>3</v>
      </c>
      <c r="I19" s="588"/>
      <c r="J19" s="589">
        <v>3.5</v>
      </c>
      <c r="L19" s="399">
        <v>1.2133468149646107</v>
      </c>
      <c r="M19" s="398">
        <f t="shared" si="0"/>
        <v>3.6400404448938319</v>
      </c>
      <c r="N19" s="398">
        <f t="shared" si="1"/>
        <v>4.2467138523761374</v>
      </c>
    </row>
    <row r="20" spans="1:15" s="30" customFormat="1" ht="48.75" customHeight="1" x14ac:dyDescent="0.25">
      <c r="A20" s="126">
        <v>14</v>
      </c>
      <c r="B20" s="183" t="s">
        <v>150</v>
      </c>
      <c r="C20" s="115" t="s">
        <v>1132</v>
      </c>
      <c r="D20" s="115">
        <v>0</v>
      </c>
      <c r="E20" s="456"/>
      <c r="F20" s="456"/>
      <c r="G20" s="587">
        <f>'F6'!F26</f>
        <v>4</v>
      </c>
      <c r="H20" s="588">
        <v>3</v>
      </c>
      <c r="I20" s="588"/>
      <c r="J20" s="589">
        <v>3.5</v>
      </c>
      <c r="L20" s="399">
        <v>2.4266936299292214</v>
      </c>
      <c r="M20" s="398">
        <f t="shared" si="0"/>
        <v>7.2800808897876639</v>
      </c>
      <c r="N20" s="398">
        <f t="shared" si="1"/>
        <v>8.4934277047522748</v>
      </c>
    </row>
    <row r="21" spans="1:15" s="30" customFormat="1" ht="82.5" customHeight="1" x14ac:dyDescent="0.25">
      <c r="A21" s="126">
        <v>15</v>
      </c>
      <c r="B21" s="183" t="s">
        <v>366</v>
      </c>
      <c r="C21" s="115" t="s">
        <v>1133</v>
      </c>
      <c r="D21" s="115">
        <v>0</v>
      </c>
      <c r="E21" s="456"/>
      <c r="F21" s="456"/>
      <c r="G21" s="587">
        <f>'F6'!F27</f>
        <v>4</v>
      </c>
      <c r="H21" s="588">
        <v>3</v>
      </c>
      <c r="I21" s="588"/>
      <c r="J21" s="589">
        <v>3.5</v>
      </c>
      <c r="L21" s="399">
        <v>1.2133468149646107</v>
      </c>
      <c r="M21" s="398">
        <f t="shared" si="0"/>
        <v>3.6400404448938319</v>
      </c>
      <c r="N21" s="398">
        <f t="shared" si="1"/>
        <v>4.2467138523761374</v>
      </c>
    </row>
    <row r="22" spans="1:15" s="30" customFormat="1" ht="86.25" customHeight="1" x14ac:dyDescent="0.25">
      <c r="A22" s="126">
        <v>16</v>
      </c>
      <c r="B22" s="183" t="s">
        <v>151</v>
      </c>
      <c r="C22" s="115" t="s">
        <v>375</v>
      </c>
      <c r="D22" s="115">
        <v>0</v>
      </c>
      <c r="E22" s="456"/>
      <c r="F22" s="456"/>
      <c r="G22" s="587">
        <f>'F6'!F28</f>
        <v>4</v>
      </c>
      <c r="H22" s="594">
        <v>3</v>
      </c>
      <c r="I22" s="594"/>
      <c r="J22" s="595">
        <v>3.5</v>
      </c>
      <c r="K22" s="503"/>
      <c r="L22" s="596">
        <v>0.60667340748230536</v>
      </c>
      <c r="M22" s="597">
        <f t="shared" si="0"/>
        <v>1.820020222446916</v>
      </c>
      <c r="N22" s="597">
        <f t="shared" si="1"/>
        <v>2.1233569261880687</v>
      </c>
      <c r="O22" s="503"/>
    </row>
    <row r="23" spans="1:15" s="30" customFormat="1" ht="49.5" customHeight="1" x14ac:dyDescent="0.25">
      <c r="A23" s="126">
        <v>17</v>
      </c>
      <c r="B23" s="183" t="s">
        <v>152</v>
      </c>
      <c r="C23" s="115" t="s">
        <v>1134</v>
      </c>
      <c r="D23" s="115">
        <v>0</v>
      </c>
      <c r="E23" s="456"/>
      <c r="F23" s="456"/>
      <c r="G23" s="587">
        <f>'F6'!F29</f>
        <v>4</v>
      </c>
      <c r="H23" s="594">
        <v>3</v>
      </c>
      <c r="I23" s="594"/>
      <c r="J23" s="595">
        <v>3.5</v>
      </c>
      <c r="K23" s="503"/>
      <c r="L23" s="596">
        <v>2.4266936299292214</v>
      </c>
      <c r="M23" s="597">
        <f t="shared" si="0"/>
        <v>7.2800808897876639</v>
      </c>
      <c r="N23" s="597">
        <f t="shared" si="1"/>
        <v>8.4934277047522748</v>
      </c>
      <c r="O23" s="503"/>
    </row>
    <row r="24" spans="1:15" s="30" customFormat="1" ht="62.25" customHeight="1" x14ac:dyDescent="0.25">
      <c r="A24" s="126">
        <v>18</v>
      </c>
      <c r="B24" s="183" t="s">
        <v>386</v>
      </c>
      <c r="C24" s="115" t="s">
        <v>1135</v>
      </c>
      <c r="D24" s="115">
        <v>0</v>
      </c>
      <c r="E24" s="456"/>
      <c r="F24" s="456"/>
      <c r="G24" s="587">
        <f>'F6'!F30</f>
        <v>4</v>
      </c>
      <c r="H24" s="594">
        <v>3</v>
      </c>
      <c r="I24" s="594"/>
      <c r="J24" s="595">
        <v>3.5</v>
      </c>
      <c r="K24" s="503"/>
      <c r="L24" s="596">
        <v>3.6400404448938319</v>
      </c>
      <c r="M24" s="597">
        <f t="shared" si="0"/>
        <v>10.920121334681497</v>
      </c>
      <c r="N24" s="597">
        <f t="shared" si="1"/>
        <v>12.740141557128412</v>
      </c>
      <c r="O24" s="503"/>
    </row>
    <row r="25" spans="1:15" s="30" customFormat="1" ht="114" customHeight="1" x14ac:dyDescent="0.25">
      <c r="A25" s="126">
        <v>19</v>
      </c>
      <c r="B25" s="183">
        <v>3.3</v>
      </c>
      <c r="C25" s="115" t="s">
        <v>259</v>
      </c>
      <c r="D25" s="115">
        <v>0</v>
      </c>
      <c r="E25" s="456"/>
      <c r="F25" s="456"/>
      <c r="G25" s="587">
        <f>'F6'!F31</f>
        <v>4</v>
      </c>
      <c r="H25" s="594">
        <v>3</v>
      </c>
      <c r="I25" s="594"/>
      <c r="J25" s="595">
        <v>3.5</v>
      </c>
      <c r="K25" s="503"/>
      <c r="L25" s="596">
        <v>0.60667340748230536</v>
      </c>
      <c r="M25" s="597">
        <f t="shared" si="0"/>
        <v>1.820020222446916</v>
      </c>
      <c r="N25" s="597">
        <f t="shared" si="1"/>
        <v>2.1233569261880687</v>
      </c>
      <c r="O25" s="503"/>
    </row>
    <row r="26" spans="1:15" s="30" customFormat="1" ht="85.5" customHeight="1" x14ac:dyDescent="0.25">
      <c r="A26" s="126">
        <v>20</v>
      </c>
      <c r="B26" s="183">
        <v>3.4</v>
      </c>
      <c r="C26" s="115" t="s">
        <v>260</v>
      </c>
      <c r="D26" s="115">
        <v>0</v>
      </c>
      <c r="E26" s="456"/>
      <c r="F26" s="456"/>
      <c r="G26" s="587">
        <f>'F6'!F32</f>
        <v>4</v>
      </c>
      <c r="H26" s="594">
        <v>3</v>
      </c>
      <c r="I26" s="594"/>
      <c r="J26" s="595">
        <v>3.5</v>
      </c>
      <c r="K26" s="503"/>
      <c r="L26" s="596">
        <v>0.60667340748230536</v>
      </c>
      <c r="M26" s="597">
        <f t="shared" si="0"/>
        <v>1.820020222446916</v>
      </c>
      <c r="N26" s="597">
        <f t="shared" si="1"/>
        <v>2.1233569261880687</v>
      </c>
      <c r="O26" s="503"/>
    </row>
    <row r="27" spans="1:15" s="30" customFormat="1" ht="96" customHeight="1" x14ac:dyDescent="0.25">
      <c r="A27" s="126">
        <v>21</v>
      </c>
      <c r="B27" s="183">
        <v>4.0999999999999996</v>
      </c>
      <c r="C27" s="115" t="s">
        <v>397</v>
      </c>
      <c r="D27" s="115">
        <v>0</v>
      </c>
      <c r="E27" s="456"/>
      <c r="F27" s="456"/>
      <c r="G27" s="587">
        <f>'F6'!F33</f>
        <v>4</v>
      </c>
      <c r="H27" s="594">
        <v>3</v>
      </c>
      <c r="I27" s="594"/>
      <c r="J27" s="595">
        <v>3.5</v>
      </c>
      <c r="K27" s="503"/>
      <c r="L27" s="596">
        <v>1.1627906976744187</v>
      </c>
      <c r="M27" s="597">
        <f t="shared" si="0"/>
        <v>3.4883720930232558</v>
      </c>
      <c r="N27" s="597">
        <f t="shared" si="1"/>
        <v>4.0697674418604652</v>
      </c>
      <c r="O27" s="503"/>
    </row>
    <row r="28" spans="1:15" s="30" customFormat="1" ht="61.5" customHeight="1" x14ac:dyDescent="0.25">
      <c r="A28" s="126">
        <v>22</v>
      </c>
      <c r="B28" s="183">
        <v>4.2</v>
      </c>
      <c r="C28" s="115" t="s">
        <v>404</v>
      </c>
      <c r="D28" s="115">
        <v>0</v>
      </c>
      <c r="E28" s="456"/>
      <c r="F28" s="456"/>
      <c r="G28" s="587">
        <f>'F6'!F34</f>
        <v>4</v>
      </c>
      <c r="H28" s="594">
        <v>3</v>
      </c>
      <c r="I28" s="594"/>
      <c r="J28" s="595">
        <v>3.5</v>
      </c>
      <c r="K28" s="503"/>
      <c r="L28" s="596">
        <v>1.1627906976744187</v>
      </c>
      <c r="M28" s="597">
        <f t="shared" si="0"/>
        <v>3.4883720930232558</v>
      </c>
      <c r="N28" s="597">
        <f t="shared" si="1"/>
        <v>4.0697674418604652</v>
      </c>
      <c r="O28" s="503"/>
    </row>
    <row r="29" spans="1:15" s="30" customFormat="1" ht="99.75" customHeight="1" x14ac:dyDescent="0.25">
      <c r="A29" s="126">
        <v>23</v>
      </c>
      <c r="B29" s="183" t="s">
        <v>405</v>
      </c>
      <c r="C29" s="115" t="s">
        <v>1136</v>
      </c>
      <c r="D29" s="115">
        <v>0</v>
      </c>
      <c r="E29" s="456"/>
      <c r="F29" s="456"/>
      <c r="G29" s="587">
        <f>'F6'!F35</f>
        <v>4</v>
      </c>
      <c r="H29" s="588">
        <v>3</v>
      </c>
      <c r="I29" s="588"/>
      <c r="J29" s="589">
        <v>3.5</v>
      </c>
      <c r="L29" s="399">
        <v>3.4883720930232553</v>
      </c>
      <c r="M29" s="398">
        <f t="shared" si="0"/>
        <v>10.465116279069766</v>
      </c>
      <c r="N29" s="398">
        <f t="shared" si="1"/>
        <v>12.209302325581394</v>
      </c>
    </row>
    <row r="30" spans="1:15" s="30" customFormat="1" ht="83.25" customHeight="1" x14ac:dyDescent="0.25">
      <c r="A30" s="126">
        <v>24</v>
      </c>
      <c r="B30" s="183" t="s">
        <v>419</v>
      </c>
      <c r="C30" s="115" t="s">
        <v>425</v>
      </c>
      <c r="D30" s="115">
        <v>0</v>
      </c>
      <c r="E30" s="456"/>
      <c r="F30" s="456"/>
      <c r="G30" s="587">
        <f>'F6'!F36</f>
        <v>4</v>
      </c>
      <c r="H30" s="588">
        <v>3</v>
      </c>
      <c r="I30" s="588"/>
      <c r="J30" s="589">
        <v>3.5</v>
      </c>
      <c r="L30" s="399">
        <v>2.3255813953488373</v>
      </c>
      <c r="M30" s="398">
        <f t="shared" si="0"/>
        <v>6.9767441860465116</v>
      </c>
      <c r="N30" s="398">
        <f t="shared" si="1"/>
        <v>8.1395348837209305</v>
      </c>
    </row>
    <row r="31" spans="1:15" s="30" customFormat="1" ht="53.25" customHeight="1" x14ac:dyDescent="0.25">
      <c r="A31" s="126">
        <v>25</v>
      </c>
      <c r="B31" s="183" t="s">
        <v>680</v>
      </c>
      <c r="C31" s="115" t="s">
        <v>1137</v>
      </c>
      <c r="D31" s="115">
        <v>0</v>
      </c>
      <c r="E31" s="456"/>
      <c r="F31" s="456"/>
      <c r="G31" s="587">
        <f>'F6'!F37</f>
        <v>4</v>
      </c>
      <c r="H31" s="588">
        <v>3</v>
      </c>
      <c r="I31" s="588"/>
      <c r="J31" s="589">
        <v>3.5</v>
      </c>
      <c r="L31" s="399">
        <v>1.1627906976744187</v>
      </c>
      <c r="M31" s="398">
        <f t="shared" si="0"/>
        <v>3.4883720930232558</v>
      </c>
      <c r="N31" s="398">
        <f t="shared" si="1"/>
        <v>4.0697674418604652</v>
      </c>
    </row>
    <row r="32" spans="1:15" s="30" customFormat="1" ht="64.5" customHeight="1" x14ac:dyDescent="0.25">
      <c r="A32" s="126">
        <v>26</v>
      </c>
      <c r="B32" s="183" t="s">
        <v>427</v>
      </c>
      <c r="C32" s="115" t="s">
        <v>1138</v>
      </c>
      <c r="D32" s="115">
        <v>0</v>
      </c>
      <c r="E32" s="456"/>
      <c r="F32" s="456"/>
      <c r="G32" s="587">
        <f>'F6'!F38</f>
        <v>4</v>
      </c>
      <c r="H32" s="598">
        <v>3</v>
      </c>
      <c r="I32" s="598"/>
      <c r="J32" s="599">
        <v>3.5</v>
      </c>
      <c r="K32" s="510"/>
      <c r="L32" s="600">
        <v>3.4883720930232553</v>
      </c>
      <c r="M32" s="601">
        <f t="shared" si="0"/>
        <v>10.465116279069766</v>
      </c>
      <c r="N32" s="601">
        <f t="shared" si="1"/>
        <v>12.209302325581394</v>
      </c>
      <c r="O32" s="510"/>
    </row>
    <row r="33" spans="1:15" s="30" customFormat="1" ht="112.5" customHeight="1" x14ac:dyDescent="0.25">
      <c r="A33" s="126">
        <v>27</v>
      </c>
      <c r="B33" s="183" t="s">
        <v>432</v>
      </c>
      <c r="C33" s="115" t="s">
        <v>1139</v>
      </c>
      <c r="D33" s="115">
        <v>0</v>
      </c>
      <c r="E33" s="456"/>
      <c r="F33" s="456"/>
      <c r="G33" s="587">
        <f>'F6'!F39</f>
        <v>4</v>
      </c>
      <c r="H33" s="598">
        <v>3</v>
      </c>
      <c r="I33" s="598"/>
      <c r="J33" s="599">
        <v>3.5</v>
      </c>
      <c r="K33" s="510"/>
      <c r="L33" s="600">
        <v>2.3255813953488373</v>
      </c>
      <c r="M33" s="601">
        <f t="shared" si="0"/>
        <v>6.9767441860465116</v>
      </c>
      <c r="N33" s="601">
        <f t="shared" si="1"/>
        <v>8.1395348837209305</v>
      </c>
      <c r="O33" s="510"/>
    </row>
    <row r="34" spans="1:15" s="30" customFormat="1" ht="58.5" customHeight="1" x14ac:dyDescent="0.25">
      <c r="A34" s="126">
        <v>28</v>
      </c>
      <c r="B34" s="183" t="s">
        <v>11</v>
      </c>
      <c r="C34" s="115" t="s">
        <v>1140</v>
      </c>
      <c r="D34" s="115">
        <v>0</v>
      </c>
      <c r="E34" s="456"/>
      <c r="F34" s="456"/>
      <c r="G34" s="587">
        <f>'F6'!F40</f>
        <v>4</v>
      </c>
      <c r="H34" s="598">
        <v>3</v>
      </c>
      <c r="I34" s="598"/>
      <c r="J34" s="599">
        <v>3.5</v>
      </c>
      <c r="K34" s="510"/>
      <c r="L34" s="600">
        <v>1.1627906976744187</v>
      </c>
      <c r="M34" s="601">
        <f t="shared" si="0"/>
        <v>3.4883720930232558</v>
      </c>
      <c r="N34" s="601">
        <f t="shared" si="1"/>
        <v>4.0697674418604652</v>
      </c>
      <c r="O34" s="510"/>
    </row>
    <row r="35" spans="1:15" s="30" customFormat="1" ht="98.25" customHeight="1" x14ac:dyDescent="0.25">
      <c r="A35" s="126">
        <v>29</v>
      </c>
      <c r="B35" s="183" t="s">
        <v>705</v>
      </c>
      <c r="C35" s="115" t="s">
        <v>1141</v>
      </c>
      <c r="D35" s="115">
        <v>0</v>
      </c>
      <c r="E35" s="456"/>
      <c r="F35" s="456"/>
      <c r="G35" s="587">
        <f>'F6'!F41</f>
        <v>4</v>
      </c>
      <c r="H35" s="598">
        <v>3</v>
      </c>
      <c r="I35" s="598"/>
      <c r="J35" s="599">
        <v>3.5</v>
      </c>
      <c r="K35" s="510"/>
      <c r="L35" s="600">
        <v>1.1627906976744187</v>
      </c>
      <c r="M35" s="601">
        <f t="shared" si="0"/>
        <v>3.4883720930232558</v>
      </c>
      <c r="N35" s="601">
        <f t="shared" si="1"/>
        <v>4.0697674418604652</v>
      </c>
      <c r="O35" s="510"/>
    </row>
    <row r="36" spans="1:15" s="30" customFormat="1" ht="96.75" customHeight="1" x14ac:dyDescent="0.25">
      <c r="A36" s="126">
        <v>30</v>
      </c>
      <c r="B36" s="183" t="s">
        <v>13</v>
      </c>
      <c r="C36" s="115" t="s">
        <v>1142</v>
      </c>
      <c r="D36" s="115">
        <v>0</v>
      </c>
      <c r="E36" s="456"/>
      <c r="F36" s="456"/>
      <c r="G36" s="587">
        <f>'F6'!F42</f>
        <v>4</v>
      </c>
      <c r="H36" s="598">
        <v>3</v>
      </c>
      <c r="I36" s="598"/>
      <c r="J36" s="599">
        <v>3.5</v>
      </c>
      <c r="K36" s="510"/>
      <c r="L36" s="600">
        <v>1.1627906976744187</v>
      </c>
      <c r="M36" s="601">
        <f t="shared" si="0"/>
        <v>3.4883720930232558</v>
      </c>
      <c r="N36" s="601">
        <f t="shared" si="1"/>
        <v>4.0697674418604652</v>
      </c>
      <c r="O36" s="510"/>
    </row>
    <row r="37" spans="1:15" s="30" customFormat="1" ht="84.75" customHeight="1" x14ac:dyDescent="0.25">
      <c r="A37" s="126">
        <v>31</v>
      </c>
      <c r="B37" s="183" t="s">
        <v>14</v>
      </c>
      <c r="C37" s="115" t="s">
        <v>1143</v>
      </c>
      <c r="D37" s="115">
        <v>0</v>
      </c>
      <c r="E37" s="456"/>
      <c r="F37" s="456"/>
      <c r="G37" s="587">
        <f>'F6'!F43</f>
        <v>4</v>
      </c>
      <c r="H37" s="598">
        <v>3</v>
      </c>
      <c r="I37" s="598"/>
      <c r="J37" s="599">
        <v>3.5</v>
      </c>
      <c r="K37" s="510"/>
      <c r="L37" s="600">
        <v>1.1627906976744187</v>
      </c>
      <c r="M37" s="601">
        <f t="shared" si="0"/>
        <v>3.4883720930232558</v>
      </c>
      <c r="N37" s="601">
        <f t="shared" si="1"/>
        <v>4.0697674418604652</v>
      </c>
      <c r="O37" s="510"/>
    </row>
    <row r="38" spans="1:15" s="30" customFormat="1" ht="98.25" customHeight="1" x14ac:dyDescent="0.25">
      <c r="A38" s="126">
        <v>32</v>
      </c>
      <c r="B38" s="183" t="s">
        <v>15</v>
      </c>
      <c r="C38" s="115" t="s">
        <v>1144</v>
      </c>
      <c r="D38" s="115">
        <v>0</v>
      </c>
      <c r="E38" s="456"/>
      <c r="F38" s="456"/>
      <c r="G38" s="587">
        <f>'F6'!F44</f>
        <v>4</v>
      </c>
      <c r="H38" s="598">
        <v>3</v>
      </c>
      <c r="I38" s="598"/>
      <c r="J38" s="599">
        <v>3.5</v>
      </c>
      <c r="K38" s="510"/>
      <c r="L38" s="600">
        <v>1.1627906976744187</v>
      </c>
      <c r="M38" s="601">
        <f t="shared" si="0"/>
        <v>3.4883720930232558</v>
      </c>
      <c r="N38" s="601">
        <f t="shared" si="1"/>
        <v>4.0697674418604652</v>
      </c>
      <c r="O38" s="510"/>
    </row>
    <row r="39" spans="1:15" s="30" customFormat="1" ht="95.25" customHeight="1" x14ac:dyDescent="0.25">
      <c r="A39" s="126">
        <v>33</v>
      </c>
      <c r="B39" s="183" t="s">
        <v>16</v>
      </c>
      <c r="C39" s="115" t="s">
        <v>1145</v>
      </c>
      <c r="D39" s="115">
        <v>0</v>
      </c>
      <c r="E39" s="456"/>
      <c r="F39" s="456"/>
      <c r="G39" s="587">
        <f>'F6'!F45</f>
        <v>4</v>
      </c>
      <c r="H39" s="588">
        <v>3</v>
      </c>
      <c r="I39" s="588"/>
      <c r="J39" s="589">
        <v>3.5</v>
      </c>
      <c r="L39" s="399">
        <v>1.1627906976744187</v>
      </c>
      <c r="M39" s="398">
        <f t="shared" si="0"/>
        <v>3.4883720930232558</v>
      </c>
      <c r="N39" s="398">
        <f t="shared" si="1"/>
        <v>4.0697674418604652</v>
      </c>
    </row>
    <row r="40" spans="1:15" s="30" customFormat="1" ht="72.75" customHeight="1" x14ac:dyDescent="0.25">
      <c r="A40" s="126">
        <v>34</v>
      </c>
      <c r="B40" s="183" t="s">
        <v>17</v>
      </c>
      <c r="C40" s="115" t="s">
        <v>1146</v>
      </c>
      <c r="D40" s="115">
        <v>0</v>
      </c>
      <c r="E40" s="456"/>
      <c r="F40" s="456"/>
      <c r="G40" s="587">
        <f>'F6'!F46</f>
        <v>4</v>
      </c>
      <c r="H40" s="588">
        <v>3</v>
      </c>
      <c r="I40" s="588"/>
      <c r="J40" s="589">
        <v>3.5</v>
      </c>
      <c r="L40" s="399">
        <v>1.1627906976744187</v>
      </c>
      <c r="M40" s="398">
        <f t="shared" si="0"/>
        <v>3.4883720930232558</v>
      </c>
      <c r="N40" s="398">
        <f t="shared" si="1"/>
        <v>4.0697674418604652</v>
      </c>
    </row>
    <row r="41" spans="1:15" s="30" customFormat="1" ht="86.25" customHeight="1" x14ac:dyDescent="0.25">
      <c r="A41" s="126">
        <v>35</v>
      </c>
      <c r="B41" s="183" t="s">
        <v>154</v>
      </c>
      <c r="C41" s="115" t="s">
        <v>475</v>
      </c>
      <c r="D41" s="115">
        <v>0</v>
      </c>
      <c r="E41" s="456"/>
      <c r="F41" s="456"/>
      <c r="G41" s="587">
        <f>'F6'!F47</f>
        <v>4</v>
      </c>
      <c r="H41" s="588">
        <v>3</v>
      </c>
      <c r="I41" s="588"/>
      <c r="J41" s="589">
        <v>3.5</v>
      </c>
      <c r="L41" s="399">
        <v>0.51679586563307489</v>
      </c>
      <c r="M41" s="398">
        <f t="shared" si="0"/>
        <v>1.5503875968992247</v>
      </c>
      <c r="N41" s="398">
        <f t="shared" si="1"/>
        <v>1.8087855297157622</v>
      </c>
    </row>
    <row r="42" spans="1:15" s="30" customFormat="1" ht="69" customHeight="1" x14ac:dyDescent="0.25">
      <c r="A42" s="126">
        <v>36</v>
      </c>
      <c r="B42" s="183" t="s">
        <v>155</v>
      </c>
      <c r="C42" s="115" t="s">
        <v>267</v>
      </c>
      <c r="D42" s="115">
        <v>0</v>
      </c>
      <c r="E42" s="456"/>
      <c r="F42" s="456"/>
      <c r="G42" s="587">
        <f>'F6'!F48</f>
        <v>4</v>
      </c>
      <c r="H42" s="588">
        <v>3</v>
      </c>
      <c r="I42" s="588"/>
      <c r="J42" s="589">
        <v>3.5</v>
      </c>
      <c r="L42" s="399">
        <v>1.0335917312661498</v>
      </c>
      <c r="M42" s="398">
        <f t="shared" si="0"/>
        <v>3.1007751937984493</v>
      </c>
      <c r="N42" s="398">
        <f t="shared" si="1"/>
        <v>3.6175710594315245</v>
      </c>
    </row>
    <row r="43" spans="1:15" s="30" customFormat="1" ht="75" customHeight="1" x14ac:dyDescent="0.25">
      <c r="A43" s="126">
        <v>37</v>
      </c>
      <c r="B43" s="183" t="s">
        <v>677</v>
      </c>
      <c r="C43" s="115" t="s">
        <v>735</v>
      </c>
      <c r="D43" s="115">
        <v>0</v>
      </c>
      <c r="E43" s="456"/>
      <c r="F43" s="456"/>
      <c r="G43" s="587">
        <f>'F6'!F49</f>
        <v>4</v>
      </c>
      <c r="H43" s="588">
        <v>3</v>
      </c>
      <c r="I43" s="588"/>
      <c r="J43" s="589">
        <v>3.5</v>
      </c>
      <c r="L43" s="399">
        <v>2.5839793281653742</v>
      </c>
      <c r="M43" s="398">
        <f t="shared" si="0"/>
        <v>7.7519379844961227</v>
      </c>
      <c r="N43" s="398">
        <f t="shared" si="1"/>
        <v>9.0439276485788103</v>
      </c>
    </row>
    <row r="44" spans="1:15" s="30" customFormat="1" ht="87" customHeight="1" x14ac:dyDescent="0.25">
      <c r="A44" s="126">
        <v>38</v>
      </c>
      <c r="B44" s="183" t="s">
        <v>515</v>
      </c>
      <c r="C44" s="115" t="s">
        <v>1147</v>
      </c>
      <c r="D44" s="115">
        <v>0</v>
      </c>
      <c r="E44" s="456"/>
      <c r="F44" s="456"/>
      <c r="G44" s="587">
        <f>'F6'!F50</f>
        <v>4</v>
      </c>
      <c r="H44" s="588">
        <v>3</v>
      </c>
      <c r="I44" s="588"/>
      <c r="J44" s="589">
        <v>3.5</v>
      </c>
      <c r="L44" s="399">
        <v>5.1679586563307485</v>
      </c>
      <c r="M44" s="398">
        <f t="shared" si="0"/>
        <v>15.503875968992245</v>
      </c>
      <c r="N44" s="398">
        <f t="shared" si="1"/>
        <v>18.087855297157621</v>
      </c>
    </row>
    <row r="45" spans="1:15" s="30" customFormat="1" ht="87" customHeight="1" x14ac:dyDescent="0.25">
      <c r="A45" s="126">
        <v>39</v>
      </c>
      <c r="B45" s="183" t="s">
        <v>516</v>
      </c>
      <c r="C45" s="115" t="s">
        <v>1148</v>
      </c>
      <c r="D45" s="115">
        <v>0</v>
      </c>
      <c r="E45" s="456"/>
      <c r="F45" s="456"/>
      <c r="G45" s="587">
        <f>'F6'!F51</f>
        <v>4</v>
      </c>
      <c r="H45" s="588">
        <v>3</v>
      </c>
      <c r="I45" s="588"/>
      <c r="J45" s="589">
        <v>3.5</v>
      </c>
      <c r="L45" s="399">
        <v>5.1679586563307485</v>
      </c>
      <c r="M45" s="398">
        <f t="shared" si="0"/>
        <v>15.503875968992245</v>
      </c>
      <c r="N45" s="398">
        <f t="shared" si="1"/>
        <v>18.087855297157621</v>
      </c>
    </row>
    <row r="46" spans="1:15" s="30" customFormat="1" ht="68.25" customHeight="1" x14ac:dyDescent="0.25">
      <c r="A46" s="126">
        <v>40</v>
      </c>
      <c r="B46" s="183" t="s">
        <v>519</v>
      </c>
      <c r="C46" s="115" t="s">
        <v>1046</v>
      </c>
      <c r="D46" s="115">
        <v>0</v>
      </c>
      <c r="E46" s="456"/>
      <c r="F46" s="456"/>
      <c r="G46" s="587">
        <f>'F6'!F52</f>
        <v>4</v>
      </c>
      <c r="H46" s="588">
        <v>3</v>
      </c>
      <c r="I46" s="588"/>
      <c r="J46" s="589">
        <v>3.5</v>
      </c>
      <c r="L46" s="399">
        <v>1.0335917312661498</v>
      </c>
      <c r="M46" s="398">
        <f t="shared" si="0"/>
        <v>3.1007751937984493</v>
      </c>
      <c r="N46" s="398">
        <f t="shared" si="1"/>
        <v>3.6175710594315245</v>
      </c>
    </row>
    <row r="47" spans="1:15" s="30" customFormat="1" ht="53.25" customHeight="1" x14ac:dyDescent="0.25">
      <c r="A47" s="126">
        <v>41</v>
      </c>
      <c r="B47" s="183">
        <v>5.2</v>
      </c>
      <c r="C47" s="115" t="s">
        <v>1149</v>
      </c>
      <c r="D47" s="115">
        <v>0</v>
      </c>
      <c r="E47" s="456"/>
      <c r="F47" s="456"/>
      <c r="G47" s="587">
        <f>'F6'!F53</f>
        <v>4</v>
      </c>
      <c r="H47" s="588">
        <v>3</v>
      </c>
      <c r="I47" s="588"/>
      <c r="J47" s="589">
        <v>3.5</v>
      </c>
      <c r="L47" s="399">
        <v>0.25839793281653745</v>
      </c>
      <c r="M47" s="398">
        <f t="shared" si="0"/>
        <v>0.77519379844961234</v>
      </c>
      <c r="N47" s="398">
        <f t="shared" si="1"/>
        <v>0.90439276485788112</v>
      </c>
    </row>
    <row r="48" spans="1:15" s="30" customFormat="1" ht="61.5" customHeight="1" x14ac:dyDescent="0.25">
      <c r="A48" s="126">
        <v>42</v>
      </c>
      <c r="B48" s="183">
        <v>5.3</v>
      </c>
      <c r="C48" s="115" t="s">
        <v>1150</v>
      </c>
      <c r="D48" s="115">
        <v>0</v>
      </c>
      <c r="E48" s="456"/>
      <c r="F48" s="456"/>
      <c r="G48" s="587">
        <f>'F6'!F54</f>
        <v>4</v>
      </c>
      <c r="H48" s="588">
        <v>3</v>
      </c>
      <c r="I48" s="588"/>
      <c r="J48" s="589">
        <v>3.5</v>
      </c>
      <c r="L48" s="399">
        <v>1.0335917312661498</v>
      </c>
      <c r="M48" s="398">
        <f t="shared" si="0"/>
        <v>3.1007751937984493</v>
      </c>
      <c r="N48" s="398">
        <f t="shared" si="1"/>
        <v>3.6175710594315245</v>
      </c>
    </row>
    <row r="49" spans="1:14" s="30" customFormat="1" ht="106.5" customHeight="1" x14ac:dyDescent="0.25">
      <c r="A49" s="126">
        <v>43</v>
      </c>
      <c r="B49" s="183" t="s">
        <v>531</v>
      </c>
      <c r="C49" s="115" t="s">
        <v>532</v>
      </c>
      <c r="D49" s="115">
        <v>0</v>
      </c>
      <c r="E49" s="456"/>
      <c r="F49" s="456"/>
      <c r="G49" s="587">
        <f>'F6'!F55</f>
        <v>4</v>
      </c>
      <c r="H49" s="588">
        <v>3</v>
      </c>
      <c r="I49" s="588"/>
      <c r="J49" s="589">
        <v>3.5</v>
      </c>
      <c r="L49" s="399">
        <v>0.51679586563307489</v>
      </c>
      <c r="M49" s="398">
        <f t="shared" si="0"/>
        <v>1.5503875968992247</v>
      </c>
      <c r="N49" s="398">
        <f t="shared" si="1"/>
        <v>1.8087855297157622</v>
      </c>
    </row>
    <row r="50" spans="1:14" s="30" customFormat="1" ht="91.5" customHeight="1" x14ac:dyDescent="0.25">
      <c r="A50" s="126">
        <v>44</v>
      </c>
      <c r="B50" s="183" t="s">
        <v>538</v>
      </c>
      <c r="C50" s="115" t="s">
        <v>537</v>
      </c>
      <c r="D50" s="115">
        <v>0</v>
      </c>
      <c r="E50" s="456"/>
      <c r="F50" s="456"/>
      <c r="G50" s="587">
        <f>'F6'!F56</f>
        <v>4</v>
      </c>
      <c r="H50" s="588">
        <v>3</v>
      </c>
      <c r="I50" s="588"/>
      <c r="J50" s="589">
        <v>3.5</v>
      </c>
      <c r="L50" s="399">
        <v>0.77519379844961234</v>
      </c>
      <c r="M50" s="398">
        <f t="shared" si="0"/>
        <v>2.3255813953488369</v>
      </c>
      <c r="N50" s="398">
        <f t="shared" si="1"/>
        <v>2.7131782945736433</v>
      </c>
    </row>
    <row r="51" spans="1:14" s="30" customFormat="1" ht="53.25" customHeight="1" x14ac:dyDescent="0.25">
      <c r="A51" s="126">
        <v>45</v>
      </c>
      <c r="B51" s="183" t="s">
        <v>539</v>
      </c>
      <c r="C51" s="115" t="s">
        <v>1151</v>
      </c>
      <c r="D51" s="115">
        <v>0</v>
      </c>
      <c r="E51" s="456"/>
      <c r="F51" s="456"/>
      <c r="G51" s="587">
        <f>'F6'!F57</f>
        <v>4</v>
      </c>
      <c r="H51" s="588">
        <v>3</v>
      </c>
      <c r="I51" s="588"/>
      <c r="J51" s="589">
        <v>3.5</v>
      </c>
      <c r="L51" s="399">
        <v>0.51679586563307489</v>
      </c>
      <c r="M51" s="398">
        <f t="shared" si="0"/>
        <v>1.5503875968992247</v>
      </c>
      <c r="N51" s="398">
        <f t="shared" si="1"/>
        <v>1.8087855297157622</v>
      </c>
    </row>
    <row r="52" spans="1:14" s="30" customFormat="1" ht="76.5" customHeight="1" x14ac:dyDescent="0.25">
      <c r="A52" s="126">
        <v>46</v>
      </c>
      <c r="B52" s="183" t="s">
        <v>545</v>
      </c>
      <c r="C52" s="115" t="s">
        <v>547</v>
      </c>
      <c r="D52" s="115">
        <v>0</v>
      </c>
      <c r="E52" s="456"/>
      <c r="F52" s="456"/>
      <c r="G52" s="587">
        <f>'F6'!F58</f>
        <v>4</v>
      </c>
      <c r="H52" s="588">
        <v>3</v>
      </c>
      <c r="I52" s="588"/>
      <c r="J52" s="589">
        <v>3.5</v>
      </c>
      <c r="L52" s="399">
        <v>1.0335917312661498</v>
      </c>
      <c r="M52" s="398">
        <f t="shared" si="0"/>
        <v>3.1007751937984493</v>
      </c>
      <c r="N52" s="398">
        <f t="shared" si="1"/>
        <v>3.6175710594315245</v>
      </c>
    </row>
    <row r="53" spans="1:14" s="30" customFormat="1" ht="47.25" customHeight="1" x14ac:dyDescent="0.25">
      <c r="A53" s="126">
        <v>47</v>
      </c>
      <c r="B53" s="183" t="s">
        <v>551</v>
      </c>
      <c r="C53" s="115" t="s">
        <v>1152</v>
      </c>
      <c r="D53" s="115">
        <v>0</v>
      </c>
      <c r="E53" s="456"/>
      <c r="F53" s="456"/>
      <c r="G53" s="587">
        <f>'F6'!F59</f>
        <v>4</v>
      </c>
      <c r="H53" s="588">
        <v>3</v>
      </c>
      <c r="I53" s="588"/>
      <c r="J53" s="589">
        <v>3.5</v>
      </c>
      <c r="L53" s="399">
        <v>0.51679586563307489</v>
      </c>
      <c r="M53" s="398">
        <f t="shared" si="0"/>
        <v>1.5503875968992247</v>
      </c>
      <c r="N53" s="398">
        <f t="shared" si="1"/>
        <v>1.8087855297157622</v>
      </c>
    </row>
    <row r="54" spans="1:14" s="30" customFormat="1" ht="80.25" customHeight="1" x14ac:dyDescent="0.25">
      <c r="A54" s="126">
        <v>48</v>
      </c>
      <c r="B54" s="183" t="s">
        <v>555</v>
      </c>
      <c r="C54" s="115" t="s">
        <v>557</v>
      </c>
      <c r="D54" s="115">
        <v>0</v>
      </c>
      <c r="E54" s="456"/>
      <c r="F54" s="456"/>
      <c r="G54" s="587">
        <f>'F6'!F60</f>
        <v>4</v>
      </c>
      <c r="H54" s="588">
        <v>3</v>
      </c>
      <c r="I54" s="588"/>
      <c r="J54" s="589">
        <v>3.5</v>
      </c>
      <c r="L54" s="399">
        <v>1.0335917312661498</v>
      </c>
      <c r="M54" s="398">
        <f t="shared" si="0"/>
        <v>3.1007751937984493</v>
      </c>
      <c r="N54" s="398">
        <f t="shared" si="1"/>
        <v>3.6175710594315245</v>
      </c>
    </row>
    <row r="55" spans="1:14" s="30" customFormat="1" ht="71.25" customHeight="1" x14ac:dyDescent="0.25">
      <c r="A55" s="126">
        <v>49</v>
      </c>
      <c r="B55" s="183" t="s">
        <v>156</v>
      </c>
      <c r="C55" s="115" t="s">
        <v>562</v>
      </c>
      <c r="D55" s="115">
        <v>0</v>
      </c>
      <c r="E55" s="456"/>
      <c r="F55" s="456"/>
      <c r="G55" s="587">
        <f>'F6'!F61</f>
        <v>4</v>
      </c>
      <c r="H55" s="588">
        <v>3</v>
      </c>
      <c r="I55" s="588"/>
      <c r="J55" s="589">
        <v>3.5</v>
      </c>
      <c r="L55" s="399">
        <v>0.51679586563307489</v>
      </c>
      <c r="M55" s="398">
        <f t="shared" si="0"/>
        <v>1.5503875968992247</v>
      </c>
      <c r="N55" s="398">
        <f t="shared" si="1"/>
        <v>1.8087855297157622</v>
      </c>
    </row>
    <row r="56" spans="1:14" s="30" customFormat="1" ht="72" customHeight="1" x14ac:dyDescent="0.25">
      <c r="A56" s="126">
        <v>50</v>
      </c>
      <c r="B56" s="183" t="s">
        <v>157</v>
      </c>
      <c r="C56" s="115" t="s">
        <v>268</v>
      </c>
      <c r="D56" s="115">
        <v>0</v>
      </c>
      <c r="E56" s="456"/>
      <c r="F56" s="456"/>
      <c r="G56" s="587">
        <f>'F6'!F62</f>
        <v>4</v>
      </c>
      <c r="H56" s="588">
        <v>3</v>
      </c>
      <c r="I56" s="588"/>
      <c r="J56" s="589">
        <v>3.5</v>
      </c>
      <c r="L56" s="399">
        <v>0.51679586563307489</v>
      </c>
      <c r="M56" s="398">
        <f t="shared" si="0"/>
        <v>1.5503875968992247</v>
      </c>
      <c r="N56" s="398">
        <f t="shared" si="1"/>
        <v>1.8087855297157622</v>
      </c>
    </row>
    <row r="57" spans="1:14" s="30" customFormat="1" ht="88.5" customHeight="1" x14ac:dyDescent="0.25">
      <c r="A57" s="126">
        <v>51</v>
      </c>
      <c r="B57" s="183" t="s">
        <v>158</v>
      </c>
      <c r="C57" s="115" t="s">
        <v>269</v>
      </c>
      <c r="D57" s="115">
        <v>0</v>
      </c>
      <c r="E57" s="456"/>
      <c r="F57" s="456"/>
      <c r="G57" s="587">
        <f>'F6'!F63</f>
        <v>4</v>
      </c>
      <c r="H57" s="588">
        <v>3</v>
      </c>
      <c r="I57" s="588"/>
      <c r="J57" s="589">
        <v>3.5</v>
      </c>
      <c r="L57" s="399">
        <v>0.51679586563307489</v>
      </c>
      <c r="M57" s="398">
        <f t="shared" si="0"/>
        <v>1.5503875968992247</v>
      </c>
      <c r="N57" s="398">
        <f t="shared" si="1"/>
        <v>1.8087855297157622</v>
      </c>
    </row>
    <row r="58" spans="1:14" s="30" customFormat="1" ht="71.25" customHeight="1" x14ac:dyDescent="0.25">
      <c r="A58" s="126">
        <v>52</v>
      </c>
      <c r="B58" s="183" t="s">
        <v>573</v>
      </c>
      <c r="C58" s="115" t="s">
        <v>547</v>
      </c>
      <c r="D58" s="115">
        <v>0</v>
      </c>
      <c r="E58" s="456"/>
      <c r="F58" s="456"/>
      <c r="G58" s="587">
        <f>'F6'!F64</f>
        <v>4</v>
      </c>
      <c r="H58" s="588">
        <v>3</v>
      </c>
      <c r="I58" s="588"/>
      <c r="J58" s="589">
        <v>3.5</v>
      </c>
      <c r="L58" s="399">
        <v>0.51679586563307489</v>
      </c>
      <c r="M58" s="398">
        <f t="shared" si="0"/>
        <v>1.5503875968992247</v>
      </c>
      <c r="N58" s="398">
        <f t="shared" si="1"/>
        <v>1.8087855297157622</v>
      </c>
    </row>
    <row r="59" spans="1:14" s="30" customFormat="1" ht="75" customHeight="1" x14ac:dyDescent="0.25">
      <c r="A59" s="126">
        <v>53</v>
      </c>
      <c r="B59" s="183" t="s">
        <v>187</v>
      </c>
      <c r="C59" s="115" t="s">
        <v>576</v>
      </c>
      <c r="D59" s="115">
        <v>0</v>
      </c>
      <c r="E59" s="456"/>
      <c r="F59" s="456"/>
      <c r="G59" s="587">
        <f>'F6'!F65</f>
        <v>4</v>
      </c>
      <c r="H59" s="588">
        <v>3</v>
      </c>
      <c r="I59" s="588"/>
      <c r="J59" s="589">
        <v>3.5</v>
      </c>
      <c r="L59" s="399">
        <v>1.0570824524312896</v>
      </c>
      <c r="M59" s="398">
        <f t="shared" si="0"/>
        <v>3.1712473572938689</v>
      </c>
      <c r="N59" s="398">
        <f t="shared" si="1"/>
        <v>3.6997885835095135</v>
      </c>
    </row>
    <row r="60" spans="1:14" s="30" customFormat="1" ht="97.5" customHeight="1" x14ac:dyDescent="0.25">
      <c r="A60" s="126">
        <v>54</v>
      </c>
      <c r="B60" s="183" t="s">
        <v>189</v>
      </c>
      <c r="C60" s="115" t="s">
        <v>1153</v>
      </c>
      <c r="D60" s="115">
        <v>0</v>
      </c>
      <c r="E60" s="456"/>
      <c r="F60" s="456"/>
      <c r="G60" s="587">
        <f>'F6'!F66</f>
        <v>4</v>
      </c>
      <c r="H60" s="588">
        <v>3</v>
      </c>
      <c r="I60" s="588"/>
      <c r="J60" s="589">
        <v>3.5</v>
      </c>
      <c r="L60" s="399">
        <v>0.52854122621564481</v>
      </c>
      <c r="M60" s="398">
        <f t="shared" si="0"/>
        <v>1.5856236786469344</v>
      </c>
      <c r="N60" s="398">
        <f t="shared" si="1"/>
        <v>1.8498942917547567</v>
      </c>
    </row>
    <row r="61" spans="1:14" s="30" customFormat="1" ht="96" customHeight="1" x14ac:dyDescent="0.25">
      <c r="A61" s="126">
        <v>55</v>
      </c>
      <c r="B61" s="183" t="s">
        <v>191</v>
      </c>
      <c r="C61" s="115" t="s">
        <v>1154</v>
      </c>
      <c r="D61" s="115">
        <v>0</v>
      </c>
      <c r="E61" s="456"/>
      <c r="F61" s="456"/>
      <c r="G61" s="587">
        <f>'F6'!F67</f>
        <v>4</v>
      </c>
      <c r="H61" s="588">
        <v>3</v>
      </c>
      <c r="I61" s="588"/>
      <c r="J61" s="589">
        <v>3.5</v>
      </c>
      <c r="L61" s="399">
        <v>1.0570824524312896</v>
      </c>
      <c r="M61" s="398">
        <f t="shared" si="0"/>
        <v>3.1712473572938689</v>
      </c>
      <c r="N61" s="398">
        <f t="shared" si="1"/>
        <v>3.6997885835095135</v>
      </c>
    </row>
    <row r="62" spans="1:14" s="30" customFormat="1" ht="87.75" customHeight="1" x14ac:dyDescent="0.25">
      <c r="A62" s="126">
        <v>56</v>
      </c>
      <c r="B62" s="183" t="s">
        <v>587</v>
      </c>
      <c r="C62" s="115" t="s">
        <v>1155</v>
      </c>
      <c r="D62" s="115">
        <v>0</v>
      </c>
      <c r="E62" s="456"/>
      <c r="F62" s="456"/>
      <c r="G62" s="587">
        <f>'F6'!F68</f>
        <v>4</v>
      </c>
      <c r="H62" s="588">
        <v>3</v>
      </c>
      <c r="I62" s="588"/>
      <c r="J62" s="589">
        <v>3.5</v>
      </c>
      <c r="L62" s="399">
        <v>0.52854122621564481</v>
      </c>
      <c r="M62" s="398">
        <f t="shared" si="0"/>
        <v>1.5856236786469344</v>
      </c>
      <c r="N62" s="398">
        <f t="shared" si="1"/>
        <v>1.8498942917547567</v>
      </c>
    </row>
    <row r="63" spans="1:14" s="30" customFormat="1" ht="105.75" customHeight="1" x14ac:dyDescent="0.25">
      <c r="A63" s="126">
        <v>57</v>
      </c>
      <c r="B63" s="183" t="s">
        <v>588</v>
      </c>
      <c r="C63" s="115" t="s">
        <v>1156</v>
      </c>
      <c r="D63" s="115">
        <v>0</v>
      </c>
      <c r="E63" s="456"/>
      <c r="F63" s="456"/>
      <c r="G63" s="587">
        <f>'F6'!F69</f>
        <v>4</v>
      </c>
      <c r="H63" s="588">
        <v>3</v>
      </c>
      <c r="I63" s="588"/>
      <c r="J63" s="589">
        <v>3.5</v>
      </c>
      <c r="L63" s="399">
        <v>0.52854122621564481</v>
      </c>
      <c r="M63" s="398">
        <f t="shared" si="0"/>
        <v>1.5856236786469344</v>
      </c>
      <c r="N63" s="398">
        <f t="shared" si="1"/>
        <v>1.8498942917547567</v>
      </c>
    </row>
    <row r="64" spans="1:14" s="30" customFormat="1" ht="83.25" customHeight="1" x14ac:dyDescent="0.25">
      <c r="A64" s="126">
        <v>58</v>
      </c>
      <c r="B64" s="183" t="s">
        <v>592</v>
      </c>
      <c r="C64" s="115" t="s">
        <v>599</v>
      </c>
      <c r="D64" s="115">
        <v>0</v>
      </c>
      <c r="E64" s="456"/>
      <c r="F64" s="456"/>
      <c r="G64" s="587">
        <f>'F6'!F70</f>
        <v>4</v>
      </c>
      <c r="H64" s="588">
        <v>3</v>
      </c>
      <c r="I64" s="588"/>
      <c r="J64" s="589">
        <v>3.5</v>
      </c>
      <c r="L64" s="399">
        <v>2.1141649048625792</v>
      </c>
      <c r="M64" s="398">
        <f t="shared" si="0"/>
        <v>6.3424947145877377</v>
      </c>
      <c r="N64" s="398">
        <f t="shared" si="1"/>
        <v>7.3995771670190269</v>
      </c>
    </row>
    <row r="65" spans="1:14" s="30" customFormat="1" ht="93.75" customHeight="1" x14ac:dyDescent="0.25">
      <c r="A65" s="126">
        <v>59</v>
      </c>
      <c r="B65" s="183" t="s">
        <v>600</v>
      </c>
      <c r="C65" s="115" t="s">
        <v>602</v>
      </c>
      <c r="D65" s="115">
        <v>0</v>
      </c>
      <c r="E65" s="456"/>
      <c r="F65" s="456"/>
      <c r="G65" s="587">
        <f>'F6'!F71</f>
        <v>4</v>
      </c>
      <c r="H65" s="588">
        <v>3</v>
      </c>
      <c r="I65" s="588"/>
      <c r="J65" s="589">
        <v>3.5</v>
      </c>
      <c r="L65" s="399">
        <v>1.0570824524312896</v>
      </c>
      <c r="M65" s="398">
        <f t="shared" si="0"/>
        <v>3.1712473572938689</v>
      </c>
      <c r="N65" s="398">
        <f t="shared" si="1"/>
        <v>3.6997885835095135</v>
      </c>
    </row>
    <row r="66" spans="1:14" s="30" customFormat="1" ht="41.25" customHeight="1" x14ac:dyDescent="0.25">
      <c r="A66" s="126">
        <v>60</v>
      </c>
      <c r="B66" s="183" t="s">
        <v>606</v>
      </c>
      <c r="C66" s="115" t="s">
        <v>1157</v>
      </c>
      <c r="D66" s="115">
        <v>0</v>
      </c>
      <c r="E66" s="456"/>
      <c r="F66" s="456"/>
      <c r="G66" s="587">
        <f>'F6'!F72</f>
        <v>4</v>
      </c>
      <c r="H66" s="588">
        <v>3</v>
      </c>
      <c r="I66" s="588"/>
      <c r="J66" s="589">
        <v>3.5</v>
      </c>
      <c r="L66" s="399">
        <v>1.0570824524312896</v>
      </c>
      <c r="M66" s="398">
        <f t="shared" si="0"/>
        <v>3.1712473572938689</v>
      </c>
      <c r="N66" s="398">
        <f t="shared" si="1"/>
        <v>3.6997885835095135</v>
      </c>
    </row>
    <row r="67" spans="1:14" s="30" customFormat="1" ht="36.75" customHeight="1" x14ac:dyDescent="0.25">
      <c r="A67" s="126">
        <v>61</v>
      </c>
      <c r="B67" s="183" t="s">
        <v>610</v>
      </c>
      <c r="C67" s="115" t="s">
        <v>1158</v>
      </c>
      <c r="D67" s="115">
        <v>0</v>
      </c>
      <c r="E67" s="456"/>
      <c r="F67" s="456"/>
      <c r="G67" s="587">
        <f>'F6'!F73</f>
        <v>4</v>
      </c>
      <c r="H67" s="588">
        <v>3</v>
      </c>
      <c r="I67" s="588"/>
      <c r="J67" s="589">
        <v>3.5</v>
      </c>
      <c r="L67" s="399">
        <v>1.0570824524312896</v>
      </c>
      <c r="M67" s="398">
        <f t="shared" si="0"/>
        <v>3.1712473572938689</v>
      </c>
      <c r="N67" s="398">
        <f t="shared" si="1"/>
        <v>3.6997885835095135</v>
      </c>
    </row>
    <row r="68" spans="1:14" s="30" customFormat="1" ht="37.5" customHeight="1" x14ac:dyDescent="0.25">
      <c r="A68" s="126">
        <v>62</v>
      </c>
      <c r="B68" s="183" t="s">
        <v>614</v>
      </c>
      <c r="C68" s="115" t="s">
        <v>1159</v>
      </c>
      <c r="D68" s="115">
        <v>0</v>
      </c>
      <c r="E68" s="456"/>
      <c r="F68" s="456"/>
      <c r="G68" s="587">
        <f>'F6'!F74</f>
        <v>4</v>
      </c>
      <c r="H68" s="588">
        <v>3</v>
      </c>
      <c r="I68" s="588"/>
      <c r="J68" s="589">
        <v>3.5</v>
      </c>
      <c r="L68" s="399">
        <v>1.0570824524312896</v>
      </c>
      <c r="M68" s="398">
        <f t="shared" si="0"/>
        <v>3.1712473572938689</v>
      </c>
      <c r="N68" s="398">
        <f t="shared" si="1"/>
        <v>3.6997885835095135</v>
      </c>
    </row>
    <row r="69" spans="1:14" s="30" customFormat="1" ht="38.25" customHeight="1" x14ac:dyDescent="0.25">
      <c r="A69" s="126">
        <v>63</v>
      </c>
      <c r="B69" s="183" t="s">
        <v>618</v>
      </c>
      <c r="C69" s="115" t="s">
        <v>1160</v>
      </c>
      <c r="D69" s="115">
        <v>0</v>
      </c>
      <c r="E69" s="456"/>
      <c r="F69" s="456"/>
      <c r="G69" s="587">
        <f>'F6'!F75</f>
        <v>4</v>
      </c>
      <c r="H69" s="588">
        <v>3</v>
      </c>
      <c r="I69" s="588"/>
      <c r="J69" s="589">
        <v>3.5</v>
      </c>
      <c r="L69" s="399">
        <v>0.52854122621564481</v>
      </c>
      <c r="M69" s="398">
        <f t="shared" si="0"/>
        <v>1.5856236786469344</v>
      </c>
      <c r="N69" s="398">
        <f t="shared" si="1"/>
        <v>1.8498942917547567</v>
      </c>
    </row>
    <row r="70" spans="1:14" s="30" customFormat="1" ht="75.75" customHeight="1" x14ac:dyDescent="0.25">
      <c r="A70" s="126">
        <v>64</v>
      </c>
      <c r="B70" s="183" t="s">
        <v>622</v>
      </c>
      <c r="C70" s="115" t="s">
        <v>625</v>
      </c>
      <c r="D70" s="115">
        <v>0</v>
      </c>
      <c r="E70" s="456"/>
      <c r="F70" s="456"/>
      <c r="G70" s="587">
        <f>'F6'!F76</f>
        <v>4</v>
      </c>
      <c r="H70" s="588">
        <v>3</v>
      </c>
      <c r="I70" s="588"/>
      <c r="J70" s="589">
        <v>3.5</v>
      </c>
      <c r="L70" s="399">
        <v>2.1141649048625792</v>
      </c>
      <c r="M70" s="398">
        <f t="shared" si="0"/>
        <v>6.3424947145877377</v>
      </c>
      <c r="N70" s="398">
        <f t="shared" si="1"/>
        <v>7.3995771670190269</v>
      </c>
    </row>
    <row r="71" spans="1:14" s="30" customFormat="1" ht="75" customHeight="1" x14ac:dyDescent="0.25">
      <c r="A71" s="126">
        <v>65</v>
      </c>
      <c r="B71" s="183" t="s">
        <v>623</v>
      </c>
      <c r="C71" s="115" t="s">
        <v>626</v>
      </c>
      <c r="D71" s="115">
        <v>0</v>
      </c>
      <c r="E71" s="456"/>
      <c r="F71" s="456"/>
      <c r="G71" s="587">
        <f>'F6'!F77</f>
        <v>4</v>
      </c>
      <c r="H71" s="588">
        <v>3</v>
      </c>
      <c r="I71" s="588"/>
      <c r="J71" s="589">
        <v>3.5</v>
      </c>
      <c r="L71" s="399">
        <v>3.1712473572938684</v>
      </c>
      <c r="M71" s="398">
        <f t="shared" si="0"/>
        <v>9.5137420718816053</v>
      </c>
      <c r="N71" s="398">
        <f t="shared" si="1"/>
        <v>11.099365750528539</v>
      </c>
    </row>
    <row r="72" spans="1:14" s="30" customFormat="1" ht="75" customHeight="1" x14ac:dyDescent="0.25">
      <c r="A72" s="126">
        <v>66</v>
      </c>
      <c r="B72" s="183" t="s">
        <v>627</v>
      </c>
      <c r="C72" s="115" t="s">
        <v>629</v>
      </c>
      <c r="D72" s="115">
        <v>0</v>
      </c>
      <c r="E72" s="456"/>
      <c r="F72" s="456"/>
      <c r="G72" s="587">
        <f>'F6'!F78</f>
        <v>4</v>
      </c>
      <c r="H72" s="588">
        <v>3</v>
      </c>
      <c r="I72" s="588"/>
      <c r="J72" s="589">
        <v>3.5</v>
      </c>
      <c r="L72" s="399">
        <v>2.1141649048625792</v>
      </c>
      <c r="M72" s="398">
        <f t="shared" ref="M72:M81" si="2">H72*L72</f>
        <v>6.3424947145877377</v>
      </c>
      <c r="N72" s="398">
        <f t="shared" ref="N72:N81" si="3">J72*$L72</f>
        <v>7.3995771670190269</v>
      </c>
    </row>
    <row r="73" spans="1:14" s="30" customFormat="1" ht="88.5" customHeight="1" x14ac:dyDescent="0.25">
      <c r="A73" s="126">
        <v>67</v>
      </c>
      <c r="B73" s="183" t="s">
        <v>630</v>
      </c>
      <c r="C73" s="115" t="s">
        <v>632</v>
      </c>
      <c r="D73" s="115">
        <v>0</v>
      </c>
      <c r="E73" s="456"/>
      <c r="F73" s="456"/>
      <c r="G73" s="587">
        <f>'F6'!F79</f>
        <v>4</v>
      </c>
      <c r="H73" s="588">
        <v>3</v>
      </c>
      <c r="I73" s="588"/>
      <c r="J73" s="589">
        <v>3.5</v>
      </c>
      <c r="L73" s="399">
        <v>3.1712473572938684</v>
      </c>
      <c r="M73" s="398">
        <f t="shared" si="2"/>
        <v>9.5137420718816053</v>
      </c>
      <c r="N73" s="398">
        <f t="shared" si="3"/>
        <v>11.099365750528539</v>
      </c>
    </row>
    <row r="74" spans="1:14" s="30" customFormat="1" ht="88.5" customHeight="1" x14ac:dyDescent="0.25">
      <c r="A74" s="126">
        <v>68</v>
      </c>
      <c r="B74" s="183">
        <v>6.3</v>
      </c>
      <c r="C74" s="115" t="s">
        <v>634</v>
      </c>
      <c r="D74" s="115">
        <v>0</v>
      </c>
      <c r="E74" s="456"/>
      <c r="F74" s="456"/>
      <c r="G74" s="587">
        <f>'F6'!F80</f>
        <v>4</v>
      </c>
      <c r="H74" s="588">
        <v>3</v>
      </c>
      <c r="I74" s="588"/>
      <c r="J74" s="589">
        <v>3.5</v>
      </c>
      <c r="L74" s="399">
        <v>2.1141649048625792</v>
      </c>
      <c r="M74" s="398">
        <f t="shared" si="2"/>
        <v>6.3424947145877377</v>
      </c>
      <c r="N74" s="398">
        <f t="shared" si="3"/>
        <v>7.3995771670190269</v>
      </c>
    </row>
    <row r="75" spans="1:14" s="30" customFormat="1" ht="71.25" customHeight="1" x14ac:dyDescent="0.25">
      <c r="A75" s="126">
        <v>69</v>
      </c>
      <c r="B75" s="183">
        <v>7.1</v>
      </c>
      <c r="C75" s="115" t="s">
        <v>1161</v>
      </c>
      <c r="D75" s="115">
        <v>0</v>
      </c>
      <c r="E75" s="456"/>
      <c r="F75" s="456"/>
      <c r="G75" s="587">
        <f>'F6'!F81</f>
        <v>4</v>
      </c>
      <c r="H75" s="588">
        <v>3</v>
      </c>
      <c r="I75" s="588"/>
      <c r="J75" s="589">
        <v>3.5</v>
      </c>
      <c r="L75" s="399">
        <v>1.3289036544850499</v>
      </c>
      <c r="M75" s="398">
        <f t="shared" si="2"/>
        <v>3.9867109634551499</v>
      </c>
      <c r="N75" s="398">
        <f t="shared" si="3"/>
        <v>4.6511627906976747</v>
      </c>
    </row>
    <row r="76" spans="1:14" s="30" customFormat="1" ht="157.5" customHeight="1" x14ac:dyDescent="0.25">
      <c r="A76" s="126">
        <v>70</v>
      </c>
      <c r="B76" s="183" t="s">
        <v>28</v>
      </c>
      <c r="C76" s="115" t="s">
        <v>1162</v>
      </c>
      <c r="D76" s="115">
        <v>0</v>
      </c>
      <c r="E76" s="456"/>
      <c r="F76" s="456"/>
      <c r="G76" s="587">
        <f>'F6'!F82</f>
        <v>4</v>
      </c>
      <c r="H76" s="588">
        <v>3</v>
      </c>
      <c r="I76" s="588"/>
      <c r="J76" s="589">
        <v>3.5</v>
      </c>
      <c r="L76" s="399">
        <v>1.3289036544850499</v>
      </c>
      <c r="M76" s="398">
        <f t="shared" si="2"/>
        <v>3.9867109634551499</v>
      </c>
      <c r="N76" s="398">
        <f t="shared" si="3"/>
        <v>4.6511627906976747</v>
      </c>
    </row>
    <row r="77" spans="1:14" s="30" customFormat="1" ht="97.5" customHeight="1" x14ac:dyDescent="0.25">
      <c r="A77" s="126">
        <v>71</v>
      </c>
      <c r="B77" s="183" t="s">
        <v>29</v>
      </c>
      <c r="C77" s="115" t="s">
        <v>1163</v>
      </c>
      <c r="D77" s="115">
        <v>0</v>
      </c>
      <c r="E77" s="456"/>
      <c r="F77" s="456"/>
      <c r="G77" s="587">
        <f>'F6'!F83</f>
        <v>4</v>
      </c>
      <c r="H77" s="588">
        <v>3</v>
      </c>
      <c r="I77" s="588"/>
      <c r="J77" s="589">
        <v>3.5</v>
      </c>
      <c r="L77" s="399">
        <v>1.3289036544850499</v>
      </c>
      <c r="M77" s="398">
        <f t="shared" si="2"/>
        <v>3.9867109634551499</v>
      </c>
      <c r="N77" s="398">
        <f t="shared" si="3"/>
        <v>4.6511627906976747</v>
      </c>
    </row>
    <row r="78" spans="1:14" s="30" customFormat="1" ht="103.5" customHeight="1" x14ac:dyDescent="0.25">
      <c r="A78" s="126">
        <v>72</v>
      </c>
      <c r="B78" s="183" t="s">
        <v>163</v>
      </c>
      <c r="C78" s="115" t="s">
        <v>656</v>
      </c>
      <c r="D78" s="115">
        <v>0</v>
      </c>
      <c r="E78" s="456"/>
      <c r="F78" s="456"/>
      <c r="G78" s="587">
        <f>'F6'!F84</f>
        <v>4</v>
      </c>
      <c r="H78" s="588">
        <v>3</v>
      </c>
      <c r="I78" s="588"/>
      <c r="J78" s="589">
        <v>3.5</v>
      </c>
      <c r="L78" s="399">
        <v>1.3289036544850499</v>
      </c>
      <c r="M78" s="398">
        <f t="shared" si="2"/>
        <v>3.9867109634551499</v>
      </c>
      <c r="N78" s="398">
        <f t="shared" si="3"/>
        <v>4.6511627906976747</v>
      </c>
    </row>
    <row r="79" spans="1:14" s="30" customFormat="1" ht="70.5" customHeight="1" x14ac:dyDescent="0.25">
      <c r="A79" s="126">
        <v>73</v>
      </c>
      <c r="B79" s="183">
        <v>7.3</v>
      </c>
      <c r="C79" s="115" t="s">
        <v>1164</v>
      </c>
      <c r="D79" s="115">
        <v>0</v>
      </c>
      <c r="E79" s="456"/>
      <c r="F79" s="456"/>
      <c r="G79" s="587">
        <f>'F6'!F85</f>
        <v>4</v>
      </c>
      <c r="H79" s="588">
        <v>3</v>
      </c>
      <c r="I79" s="588"/>
      <c r="J79" s="589">
        <v>3.5</v>
      </c>
      <c r="L79" s="399">
        <v>1.3289036544850499</v>
      </c>
      <c r="M79" s="398">
        <f t="shared" si="2"/>
        <v>3.9867109634551499</v>
      </c>
      <c r="N79" s="398">
        <f t="shared" si="3"/>
        <v>4.6511627906976747</v>
      </c>
    </row>
    <row r="80" spans="1:14" s="30" customFormat="1" ht="98.25" customHeight="1" x14ac:dyDescent="0.25">
      <c r="A80" s="126">
        <v>74</v>
      </c>
      <c r="B80" s="183" t="s">
        <v>165</v>
      </c>
      <c r="C80" s="115" t="s">
        <v>665</v>
      </c>
      <c r="D80" s="115">
        <v>0</v>
      </c>
      <c r="E80" s="456"/>
      <c r="F80" s="456"/>
      <c r="G80" s="587">
        <f>'F6'!F86</f>
        <v>4</v>
      </c>
      <c r="H80" s="588">
        <v>3</v>
      </c>
      <c r="I80" s="588"/>
      <c r="J80" s="589">
        <v>3.5</v>
      </c>
      <c r="L80" s="399">
        <v>1.3289036544850499</v>
      </c>
      <c r="M80" s="398">
        <f t="shared" si="2"/>
        <v>3.9867109634551499</v>
      </c>
      <c r="N80" s="398">
        <f t="shared" si="3"/>
        <v>4.6511627906976747</v>
      </c>
    </row>
    <row r="81" spans="1:14" s="30" customFormat="1" ht="94.5" customHeight="1" thickBot="1" x14ac:dyDescent="0.3">
      <c r="A81" s="184">
        <v>75</v>
      </c>
      <c r="B81" s="185" t="s">
        <v>166</v>
      </c>
      <c r="C81" s="186" t="s">
        <v>672</v>
      </c>
      <c r="D81" s="186">
        <v>0</v>
      </c>
      <c r="E81" s="456"/>
      <c r="F81" s="456"/>
      <c r="G81" s="587">
        <f>'F6'!F87</f>
        <v>4</v>
      </c>
      <c r="H81" s="588">
        <v>3</v>
      </c>
      <c r="I81" s="588"/>
      <c r="J81" s="589">
        <v>3.5</v>
      </c>
      <c r="L81" s="400">
        <v>1.3289036544850499</v>
      </c>
      <c r="M81" s="398">
        <f t="shared" si="2"/>
        <v>3.9867109634551499</v>
      </c>
      <c r="N81" s="398">
        <f t="shared" si="3"/>
        <v>4.6511627906976747</v>
      </c>
    </row>
    <row r="82" spans="1:14" s="60" customFormat="1" ht="20.25" customHeight="1" x14ac:dyDescent="0.25">
      <c r="A82" s="746" t="s">
        <v>89</v>
      </c>
      <c r="B82" s="747"/>
      <c r="C82" s="747"/>
      <c r="D82" s="54"/>
      <c r="E82" s="54"/>
      <c r="F82" s="54"/>
      <c r="J82" s="602"/>
      <c r="L82" s="50"/>
      <c r="M82" s="396"/>
    </row>
    <row r="83" spans="1:14" s="39" customFormat="1" ht="15.75" x14ac:dyDescent="0.25">
      <c r="A83" s="468"/>
      <c r="B83" s="44"/>
      <c r="C83" s="42"/>
      <c r="D83" s="42"/>
      <c r="E83" s="42"/>
      <c r="F83" s="42"/>
      <c r="J83" s="583"/>
      <c r="L83" s="396">
        <f>SUM(L7:L81)</f>
        <v>99.999999999999943</v>
      </c>
      <c r="M83" s="396">
        <f>SUM(M7:M81)</f>
        <v>300</v>
      </c>
      <c r="N83" s="396">
        <f>SUM(N7:N81)</f>
        <v>350.00000000000011</v>
      </c>
    </row>
    <row r="84" spans="1:14" s="39" customFormat="1" ht="15.75" x14ac:dyDescent="0.25">
      <c r="A84" s="42"/>
      <c r="B84" s="44"/>
      <c r="C84" s="42"/>
      <c r="D84" s="165" t="s">
        <v>310</v>
      </c>
      <c r="E84" s="42"/>
      <c r="F84" s="42"/>
      <c r="G84" s="187"/>
      <c r="H84" s="187"/>
      <c r="I84" s="187"/>
      <c r="J84" s="583"/>
    </row>
    <row r="85" spans="1:14" s="39" customFormat="1" x14ac:dyDescent="0.25">
      <c r="A85" s="42"/>
      <c r="B85" s="44"/>
      <c r="C85" s="42"/>
      <c r="D85" s="42"/>
      <c r="E85" s="42"/>
      <c r="F85" s="42"/>
      <c r="J85" s="583"/>
    </row>
    <row r="86" spans="1:14" s="39" customFormat="1" ht="15.75" x14ac:dyDescent="0.25">
      <c r="A86" s="470"/>
      <c r="B86" s="46"/>
      <c r="C86" s="470"/>
      <c r="D86" s="173" t="s">
        <v>1005</v>
      </c>
      <c r="E86" s="173" t="s">
        <v>1102</v>
      </c>
      <c r="F86" s="173" t="s">
        <v>1103</v>
      </c>
      <c r="J86" s="583"/>
    </row>
    <row r="87" spans="1:14" s="39" customFormat="1" ht="19.5" customHeight="1" x14ac:dyDescent="0.25">
      <c r="A87" s="167"/>
      <c r="B87" s="167"/>
      <c r="C87" s="167"/>
      <c r="D87" s="470"/>
      <c r="E87" s="42"/>
      <c r="F87" s="42"/>
      <c r="J87" s="583"/>
    </row>
    <row r="88" spans="1:14" s="39" customFormat="1" ht="18" customHeight="1" x14ac:dyDescent="0.25">
      <c r="A88" s="167"/>
      <c r="B88" s="167"/>
      <c r="C88" s="167"/>
      <c r="D88" s="162" t="s">
        <v>1104</v>
      </c>
      <c r="E88" s="42" t="s">
        <v>1105</v>
      </c>
      <c r="F88" s="42"/>
      <c r="G88" s="56"/>
      <c r="H88" s="56"/>
      <c r="I88" s="56"/>
      <c r="J88" s="583"/>
      <c r="K88" s="473"/>
      <c r="L88" s="473"/>
      <c r="M88" s="473"/>
    </row>
    <row r="89" spans="1:14" s="39" customFormat="1" x14ac:dyDescent="0.25">
      <c r="A89" s="365"/>
      <c r="B89" s="394"/>
      <c r="C89" s="42"/>
      <c r="D89" s="42"/>
      <c r="E89" s="42"/>
      <c r="F89" s="42"/>
      <c r="G89" s="473"/>
      <c r="H89" s="473"/>
      <c r="I89" s="473"/>
      <c r="J89" s="583"/>
      <c r="K89" s="473"/>
      <c r="L89" s="473"/>
      <c r="M89" s="473"/>
    </row>
    <row r="90" spans="1:14" s="39" customFormat="1" ht="15.75" x14ac:dyDescent="0.25">
      <c r="A90" s="365"/>
      <c r="B90" s="394"/>
      <c r="C90" s="42"/>
      <c r="D90" s="162"/>
      <c r="E90" s="42"/>
      <c r="F90" s="42"/>
      <c r="G90" s="470"/>
      <c r="H90" s="470"/>
      <c r="I90" s="470"/>
      <c r="J90" s="46"/>
      <c r="K90" s="470"/>
    </row>
    <row r="91" spans="1:14" s="39" customFormat="1" ht="15.75" x14ac:dyDescent="0.25">
      <c r="A91" s="365"/>
      <c r="B91" s="394"/>
      <c r="C91" s="42"/>
      <c r="D91" s="162" t="s">
        <v>1106</v>
      </c>
      <c r="E91" s="42"/>
      <c r="F91" s="42" t="s">
        <v>1107</v>
      </c>
      <c r="G91" s="56"/>
      <c r="H91" s="56"/>
      <c r="I91" s="56"/>
      <c r="J91" s="583"/>
      <c r="K91" s="473"/>
      <c r="L91" s="473"/>
      <c r="M91" s="473"/>
    </row>
    <row r="92" spans="1:14" s="39" customFormat="1" ht="15" customHeight="1" x14ac:dyDescent="0.25">
      <c r="A92" s="167"/>
      <c r="B92" s="167"/>
      <c r="C92" s="167"/>
      <c r="D92" s="162"/>
      <c r="E92" s="42"/>
      <c r="F92" s="42"/>
      <c r="G92" s="473"/>
      <c r="H92" s="473"/>
      <c r="I92" s="473"/>
      <c r="J92" s="583"/>
      <c r="K92" s="473"/>
      <c r="L92" s="473"/>
      <c r="M92" s="473"/>
    </row>
    <row r="93" spans="1:14" s="39" customFormat="1" ht="15.75" x14ac:dyDescent="0.25">
      <c r="A93" s="42"/>
      <c r="B93" s="44"/>
      <c r="C93" s="42"/>
      <c r="D93" s="162"/>
      <c r="E93" s="42"/>
      <c r="F93" s="42"/>
      <c r="J93" s="583"/>
    </row>
    <row r="94" spans="1:14" s="39" customFormat="1" ht="15.75" x14ac:dyDescent="0.25">
      <c r="A94" s="42"/>
      <c r="B94" s="44"/>
      <c r="C94" s="42"/>
      <c r="D94" s="162"/>
      <c r="E94" s="42"/>
      <c r="F94" s="42"/>
      <c r="J94" s="583"/>
    </row>
    <row r="95" spans="1:14" s="39" customFormat="1" ht="15.75" x14ac:dyDescent="0.25">
      <c r="A95" s="42"/>
      <c r="B95" s="44"/>
      <c r="C95" s="42"/>
      <c r="D95" s="162"/>
      <c r="E95" s="42"/>
      <c r="F95" s="42"/>
      <c r="J95" s="583"/>
    </row>
    <row r="96" spans="1:14" s="39" customFormat="1" ht="15.75" x14ac:dyDescent="0.25">
      <c r="A96" s="42"/>
      <c r="B96" s="44"/>
      <c r="C96" s="42"/>
      <c r="D96" s="162"/>
      <c r="E96" s="42"/>
      <c r="F96" s="42"/>
      <c r="J96" s="583"/>
    </row>
    <row r="97" spans="1:10" s="39" customFormat="1" ht="15.75" x14ac:dyDescent="0.25">
      <c r="A97" s="42"/>
      <c r="B97" s="44"/>
      <c r="C97" s="42"/>
      <c r="D97" s="162"/>
      <c r="E97" s="42"/>
      <c r="F97" s="42"/>
      <c r="J97" s="583"/>
    </row>
    <row r="98" spans="1:10" s="39" customFormat="1" ht="15.75" x14ac:dyDescent="0.25">
      <c r="A98" s="42"/>
      <c r="B98" s="44"/>
      <c r="C98" s="42"/>
      <c r="D98" s="162"/>
      <c r="E98" s="42"/>
      <c r="F98" s="42"/>
      <c r="J98" s="583"/>
    </row>
    <row r="99" spans="1:10" s="39" customFormat="1" x14ac:dyDescent="0.25">
      <c r="A99" s="42"/>
      <c r="B99" s="44"/>
      <c r="C99" s="42"/>
      <c r="D99" s="42"/>
      <c r="E99" s="42"/>
      <c r="F99" s="42"/>
      <c r="J99" s="583"/>
    </row>
    <row r="100" spans="1:10" s="39" customFormat="1" x14ac:dyDescent="0.25">
      <c r="A100" s="42"/>
      <c r="B100" s="44"/>
      <c r="C100" s="42"/>
      <c r="D100" s="42"/>
      <c r="E100" s="42"/>
      <c r="F100" s="42"/>
      <c r="J100" s="583"/>
    </row>
    <row r="101" spans="1:10" s="39" customFormat="1" x14ac:dyDescent="0.25">
      <c r="A101" s="42"/>
      <c r="B101" s="44"/>
      <c r="C101" s="42"/>
      <c r="D101" s="42"/>
      <c r="E101" s="42"/>
      <c r="F101" s="42"/>
      <c r="J101" s="583"/>
    </row>
    <row r="102" spans="1:10" s="39" customFormat="1" x14ac:dyDescent="0.25">
      <c r="A102" s="42"/>
      <c r="B102" s="44"/>
      <c r="C102" s="42"/>
      <c r="D102" s="42"/>
      <c r="E102" s="42"/>
      <c r="F102" s="42"/>
      <c r="J102" s="583"/>
    </row>
    <row r="103" spans="1:10" s="39" customFormat="1" x14ac:dyDescent="0.25">
      <c r="A103" s="42"/>
      <c r="B103" s="44"/>
      <c r="C103" s="42"/>
      <c r="D103" s="42"/>
      <c r="E103" s="42"/>
      <c r="F103" s="42"/>
      <c r="J103" s="583"/>
    </row>
    <row r="104" spans="1:10" s="39" customFormat="1" x14ac:dyDescent="0.25">
      <c r="A104" s="42"/>
      <c r="B104" s="44"/>
      <c r="C104" s="42"/>
      <c r="D104" s="42"/>
      <c r="E104" s="42"/>
      <c r="F104" s="42"/>
      <c r="J104" s="583"/>
    </row>
    <row r="105" spans="1:10" s="39" customFormat="1" x14ac:dyDescent="0.25">
      <c r="A105" s="42"/>
      <c r="B105" s="44"/>
      <c r="C105" s="42"/>
      <c r="D105" s="42"/>
      <c r="E105" s="42"/>
      <c r="F105" s="42"/>
      <c r="J105" s="583"/>
    </row>
  </sheetData>
  <sheetProtection formatCells="0" formatColumns="0" formatRows="0"/>
  <mergeCells count="6">
    <mergeCell ref="L5:M5"/>
    <mergeCell ref="A82:C82"/>
    <mergeCell ref="A1:G1"/>
    <mergeCell ref="A3:G3"/>
    <mergeCell ref="A4:G4"/>
    <mergeCell ref="A5:G5"/>
  </mergeCells>
  <pageMargins left="0.70866141732283505" right="0.70866141732283505" top="0.74803149606299202" bottom="0.74803149606299202" header="0.31496062992126" footer="0.31496062992126"/>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topLeftCell="C10" workbookViewId="0">
      <selection activeCell="H4" sqref="H4:L4"/>
    </sheetView>
  </sheetViews>
  <sheetFormatPr defaultRowHeight="15" x14ac:dyDescent="0.25"/>
  <cols>
    <col min="1" max="1" width="5.85546875" style="39" customWidth="1"/>
    <col min="2" max="2" width="20.140625" style="39" customWidth="1"/>
    <col min="3" max="3" width="28.85546875" style="39" customWidth="1"/>
    <col min="4" max="4" width="27" style="39" bestFit="1" customWidth="1"/>
    <col min="5" max="5" width="27.5703125" style="39" bestFit="1" customWidth="1"/>
    <col min="6" max="6" width="9.5703125" style="39" customWidth="1"/>
    <col min="7" max="7" width="12.7109375" style="39" customWidth="1"/>
    <col min="8" max="8" width="18.140625" style="39" customWidth="1"/>
    <col min="9" max="9" width="12.140625" style="39" customWidth="1"/>
    <col min="10" max="10" width="6.5703125" style="15" customWidth="1"/>
    <col min="11" max="11" width="9.140625" style="15" hidden="1" customWidth="1"/>
    <col min="12" max="12" width="13.7109375" style="15" hidden="1" customWidth="1"/>
    <col min="13" max="13" width="10" style="15" hidden="1" customWidth="1"/>
    <col min="14" max="14" width="11" style="15" customWidth="1"/>
    <col min="15" max="15" width="15.42578125" style="15" customWidth="1"/>
    <col min="16" max="16" width="16.7109375" style="15" customWidth="1"/>
    <col min="17" max="16384" width="9.140625" style="15"/>
  </cols>
  <sheetData>
    <row r="1" spans="1:18" s="39" customFormat="1" ht="33.75" customHeight="1" x14ac:dyDescent="0.25">
      <c r="A1" s="722" t="s">
        <v>1004</v>
      </c>
      <c r="B1" s="722"/>
      <c r="C1" s="722"/>
      <c r="D1" s="722"/>
      <c r="E1" s="722"/>
      <c r="F1" s="722"/>
      <c r="G1" s="469"/>
      <c r="H1" s="469"/>
      <c r="I1" s="469"/>
    </row>
    <row r="2" spans="1:18" s="39" customFormat="1" ht="15.75" x14ac:dyDescent="0.25">
      <c r="A2" s="168"/>
    </row>
    <row r="3" spans="1:18" s="39" customFormat="1" ht="15.75" x14ac:dyDescent="0.25">
      <c r="A3" s="644" t="s">
        <v>35</v>
      </c>
      <c r="B3" s="644"/>
    </row>
    <row r="4" spans="1:18" s="39" customFormat="1" ht="15.75" x14ac:dyDescent="0.25">
      <c r="A4" s="644" t="s">
        <v>36</v>
      </c>
      <c r="B4" s="644"/>
    </row>
    <row r="5" spans="1:18" s="39" customFormat="1" ht="15.75" x14ac:dyDescent="0.25">
      <c r="A5" s="644" t="s">
        <v>37</v>
      </c>
      <c r="B5" s="644"/>
    </row>
    <row r="6" spans="1:18" s="39" customFormat="1" ht="15.75" x14ac:dyDescent="0.25">
      <c r="A6" s="771" t="s">
        <v>307</v>
      </c>
      <c r="B6" s="771"/>
    </row>
    <row r="7" spans="1:18" s="39" customFormat="1" x14ac:dyDescent="0.25">
      <c r="A7" s="478" t="s">
        <v>244</v>
      </c>
      <c r="B7" s="478"/>
      <c r="K7" s="42"/>
    </row>
    <row r="8" spans="1:18" s="39" customFormat="1" x14ac:dyDescent="0.25">
      <c r="A8" s="478"/>
      <c r="B8" s="478"/>
      <c r="K8" s="42"/>
    </row>
    <row r="9" spans="1:18" s="39" customFormat="1" ht="35.25" customHeight="1" thickBot="1" x14ac:dyDescent="0.3">
      <c r="A9" s="743" t="s">
        <v>1051</v>
      </c>
      <c r="B9" s="743"/>
      <c r="C9" s="743"/>
      <c r="D9" s="743"/>
      <c r="E9" s="743"/>
      <c r="F9" s="743"/>
      <c r="G9" s="471"/>
      <c r="H9" s="471"/>
      <c r="I9" s="471"/>
      <c r="J9" s="473"/>
      <c r="K9" s="473"/>
      <c r="L9" s="473"/>
      <c r="M9" s="473"/>
      <c r="N9" s="473"/>
      <c r="O9" s="473"/>
      <c r="P9" s="473"/>
      <c r="Q9" s="473"/>
      <c r="R9" s="473"/>
    </row>
    <row r="10" spans="1:18" s="30" customFormat="1" ht="50.25" customHeight="1" x14ac:dyDescent="0.25">
      <c r="A10" s="756" t="s">
        <v>1</v>
      </c>
      <c r="B10" s="759" t="s">
        <v>3</v>
      </c>
      <c r="C10" s="759" t="s">
        <v>98</v>
      </c>
      <c r="D10" s="763" t="s">
        <v>1095</v>
      </c>
      <c r="E10" s="763" t="s">
        <v>1096</v>
      </c>
      <c r="F10" s="877" t="s">
        <v>216</v>
      </c>
      <c r="G10" s="884" t="s">
        <v>1108</v>
      </c>
      <c r="H10" s="884" t="s">
        <v>1098</v>
      </c>
      <c r="I10" s="886" t="s">
        <v>1109</v>
      </c>
      <c r="K10" s="768" t="s">
        <v>261</v>
      </c>
      <c r="L10" s="769"/>
      <c r="M10" s="888" t="s">
        <v>111</v>
      </c>
      <c r="N10" s="890" t="s">
        <v>5</v>
      </c>
      <c r="O10" s="880" t="s">
        <v>1100</v>
      </c>
      <c r="P10" s="882" t="s">
        <v>1101</v>
      </c>
    </row>
    <row r="11" spans="1:18" s="30" customFormat="1" ht="35.25" customHeight="1" thickBot="1" x14ac:dyDescent="0.3">
      <c r="A11" s="758"/>
      <c r="B11" s="761"/>
      <c r="C11" s="761"/>
      <c r="D11" s="879"/>
      <c r="E11" s="879"/>
      <c r="F11" s="878"/>
      <c r="G11" s="885"/>
      <c r="H11" s="885"/>
      <c r="I11" s="887"/>
      <c r="K11" s="403" t="s">
        <v>5</v>
      </c>
      <c r="L11" s="404" t="s">
        <v>110</v>
      </c>
      <c r="M11" s="889"/>
      <c r="N11" s="891"/>
      <c r="O11" s="881"/>
      <c r="P11" s="883"/>
    </row>
    <row r="12" spans="1:18" s="30" customFormat="1" ht="102.75" customHeight="1" x14ac:dyDescent="0.25">
      <c r="A12" s="143">
        <v>1</v>
      </c>
      <c r="B12" s="405" t="s">
        <v>43</v>
      </c>
      <c r="C12" s="351"/>
      <c r="D12" s="366"/>
      <c r="E12" s="366"/>
      <c r="F12" s="604"/>
      <c r="G12" s="353"/>
      <c r="H12" s="590"/>
      <c r="I12" s="590"/>
      <c r="J12" s="486"/>
      <c r="K12" s="519"/>
      <c r="L12" s="520"/>
      <c r="M12" s="605"/>
      <c r="N12" s="519"/>
      <c r="O12" s="521"/>
      <c r="P12" s="406"/>
    </row>
    <row r="13" spans="1:18" s="30" customFormat="1" ht="157.5" x14ac:dyDescent="0.25">
      <c r="A13" s="145" t="s">
        <v>44</v>
      </c>
      <c r="B13" s="407" t="s">
        <v>45</v>
      </c>
      <c r="C13" s="408">
        <v>0</v>
      </c>
      <c r="D13" s="200"/>
      <c r="E13" s="200"/>
      <c r="F13" s="606">
        <v>4</v>
      </c>
      <c r="G13" s="607">
        <v>3</v>
      </c>
      <c r="H13" s="590"/>
      <c r="I13" s="590">
        <v>3.5</v>
      </c>
      <c r="J13" s="486"/>
      <c r="K13" s="525">
        <v>12.5</v>
      </c>
      <c r="L13" s="591" t="e">
        <f>#REF!*K13</f>
        <v>#REF!</v>
      </c>
      <c r="M13" s="608">
        <v>4</v>
      </c>
      <c r="N13" s="525">
        <v>12.5</v>
      </c>
      <c r="O13" s="527">
        <f>G13*N13</f>
        <v>37.5</v>
      </c>
      <c r="P13" s="412">
        <f>I13*$N13</f>
        <v>43.75</v>
      </c>
    </row>
    <row r="14" spans="1:18" s="30" customFormat="1" ht="129.75" customHeight="1" x14ac:dyDescent="0.25">
      <c r="A14" s="145" t="s">
        <v>46</v>
      </c>
      <c r="B14" s="407" t="s">
        <v>47</v>
      </c>
      <c r="C14" s="408">
        <v>0</v>
      </c>
      <c r="D14" s="200"/>
      <c r="E14" s="200"/>
      <c r="F14" s="606">
        <v>4</v>
      </c>
      <c r="G14" s="607">
        <v>3</v>
      </c>
      <c r="H14" s="590"/>
      <c r="I14" s="590">
        <v>3.5</v>
      </c>
      <c r="J14" s="486"/>
      <c r="K14" s="525">
        <v>12.5</v>
      </c>
      <c r="L14" s="591" t="e">
        <f>#REF!*K14</f>
        <v>#REF!</v>
      </c>
      <c r="M14" s="608">
        <v>4</v>
      </c>
      <c r="N14" s="525">
        <v>12.5</v>
      </c>
      <c r="O14" s="527">
        <f t="shared" ref="O14:O26" si="0">G14*N14</f>
        <v>37.5</v>
      </c>
      <c r="P14" s="412">
        <f t="shared" ref="P14:P26" si="1">I14*$N14</f>
        <v>43.75</v>
      </c>
    </row>
    <row r="15" spans="1:18" s="30" customFormat="1" ht="96" customHeight="1" x14ac:dyDescent="0.25">
      <c r="A15" s="147">
        <v>2</v>
      </c>
      <c r="B15" s="413" t="s">
        <v>48</v>
      </c>
      <c r="C15" s="414"/>
      <c r="D15" s="175"/>
      <c r="E15" s="175"/>
      <c r="F15" s="609"/>
      <c r="G15" s="610"/>
      <c r="H15" s="611"/>
      <c r="I15" s="611"/>
      <c r="J15" s="486"/>
      <c r="K15" s="525"/>
      <c r="L15" s="591"/>
      <c r="M15" s="608"/>
      <c r="N15" s="612"/>
      <c r="O15" s="527"/>
      <c r="P15" s="412"/>
    </row>
    <row r="16" spans="1:18" s="30" customFormat="1" ht="80.25" customHeight="1" x14ac:dyDescent="0.25">
      <c r="A16" s="416" t="s">
        <v>44</v>
      </c>
      <c r="B16" s="146" t="s">
        <v>49</v>
      </c>
      <c r="C16" s="408">
        <v>0</v>
      </c>
      <c r="D16" s="200"/>
      <c r="E16" s="200"/>
      <c r="F16" s="606">
        <v>4</v>
      </c>
      <c r="G16" s="607">
        <v>3</v>
      </c>
      <c r="H16" s="590"/>
      <c r="I16" s="590">
        <v>3.5</v>
      </c>
      <c r="J16" s="486"/>
      <c r="K16" s="525">
        <v>7.5</v>
      </c>
      <c r="L16" s="591" t="e">
        <f>#REF!*K16</f>
        <v>#REF!</v>
      </c>
      <c r="M16" s="608">
        <v>4</v>
      </c>
      <c r="N16" s="525">
        <v>7.5</v>
      </c>
      <c r="O16" s="527">
        <f t="shared" si="0"/>
        <v>22.5</v>
      </c>
      <c r="P16" s="412">
        <f t="shared" si="1"/>
        <v>26.25</v>
      </c>
    </row>
    <row r="17" spans="1:16" s="30" customFormat="1" ht="99" customHeight="1" x14ac:dyDescent="0.25">
      <c r="A17" s="145" t="s">
        <v>46</v>
      </c>
      <c r="B17" s="407" t="s">
        <v>50</v>
      </c>
      <c r="C17" s="408">
        <v>0</v>
      </c>
      <c r="D17" s="200"/>
      <c r="E17" s="200"/>
      <c r="F17" s="606">
        <v>4</v>
      </c>
      <c r="G17" s="607">
        <v>3</v>
      </c>
      <c r="H17" s="590"/>
      <c r="I17" s="590">
        <v>3.5</v>
      </c>
      <c r="J17" s="486"/>
      <c r="K17" s="525">
        <v>7.5</v>
      </c>
      <c r="L17" s="591" t="e">
        <f>#REF!*K17</f>
        <v>#REF!</v>
      </c>
      <c r="M17" s="608">
        <v>4</v>
      </c>
      <c r="N17" s="525">
        <v>7.5</v>
      </c>
      <c r="O17" s="527">
        <f t="shared" si="0"/>
        <v>22.5</v>
      </c>
      <c r="P17" s="412">
        <f t="shared" si="1"/>
        <v>26.25</v>
      </c>
    </row>
    <row r="18" spans="1:16" s="30" customFormat="1" ht="52.5" customHeight="1" x14ac:dyDescent="0.25">
      <c r="A18" s="145" t="s">
        <v>51</v>
      </c>
      <c r="B18" s="146" t="s">
        <v>52</v>
      </c>
      <c r="C18" s="408">
        <v>0</v>
      </c>
      <c r="D18" s="200"/>
      <c r="E18" s="200"/>
      <c r="F18" s="606">
        <v>4</v>
      </c>
      <c r="G18" s="607">
        <v>3</v>
      </c>
      <c r="H18" s="590"/>
      <c r="I18" s="590">
        <v>3.5</v>
      </c>
      <c r="J18" s="486"/>
      <c r="K18" s="525">
        <v>7.5</v>
      </c>
      <c r="L18" s="591" t="e">
        <f>#REF!*K18</f>
        <v>#REF!</v>
      </c>
      <c r="M18" s="608">
        <v>4</v>
      </c>
      <c r="N18" s="525">
        <v>7.5</v>
      </c>
      <c r="O18" s="527">
        <f t="shared" si="0"/>
        <v>22.5</v>
      </c>
      <c r="P18" s="412">
        <f t="shared" si="1"/>
        <v>26.25</v>
      </c>
    </row>
    <row r="19" spans="1:16" s="30" customFormat="1" ht="110.25" x14ac:dyDescent="0.25">
      <c r="A19" s="145" t="s">
        <v>53</v>
      </c>
      <c r="B19" s="407" t="s">
        <v>54</v>
      </c>
      <c r="C19" s="408">
        <v>0</v>
      </c>
      <c r="D19" s="200"/>
      <c r="E19" s="200"/>
      <c r="F19" s="606">
        <v>4</v>
      </c>
      <c r="G19" s="607">
        <v>3</v>
      </c>
      <c r="H19" s="607"/>
      <c r="I19" s="607">
        <v>3.5</v>
      </c>
      <c r="K19" s="409">
        <v>7.5</v>
      </c>
      <c r="L19" s="349" t="e">
        <f>#REF!*K19</f>
        <v>#REF!</v>
      </c>
      <c r="M19" s="410">
        <v>4</v>
      </c>
      <c r="N19" s="411">
        <v>7.5</v>
      </c>
      <c r="O19" s="412">
        <f t="shared" si="0"/>
        <v>22.5</v>
      </c>
      <c r="P19" s="412">
        <f t="shared" si="1"/>
        <v>26.25</v>
      </c>
    </row>
    <row r="20" spans="1:16" s="30" customFormat="1" ht="49.5" customHeight="1" x14ac:dyDescent="0.25">
      <c r="A20" s="147">
        <v>3</v>
      </c>
      <c r="B20" s="413" t="s">
        <v>55</v>
      </c>
      <c r="C20" s="351"/>
      <c r="D20" s="366"/>
      <c r="E20" s="366"/>
      <c r="F20" s="604"/>
      <c r="G20" s="353"/>
      <c r="H20" s="353"/>
      <c r="I20" s="353"/>
      <c r="K20" s="409"/>
      <c r="L20" s="349"/>
      <c r="M20" s="410"/>
      <c r="N20" s="415"/>
      <c r="O20" s="412">
        <f t="shared" si="0"/>
        <v>0</v>
      </c>
      <c r="P20" s="412">
        <f t="shared" si="1"/>
        <v>0</v>
      </c>
    </row>
    <row r="21" spans="1:16" s="30" customFormat="1" ht="84.75" customHeight="1" x14ac:dyDescent="0.25">
      <c r="A21" s="416" t="s">
        <v>44</v>
      </c>
      <c r="B21" s="146" t="s">
        <v>56</v>
      </c>
      <c r="C21" s="408">
        <v>0</v>
      </c>
      <c r="D21" s="200"/>
      <c r="E21" s="200"/>
      <c r="F21" s="606">
        <v>4</v>
      </c>
      <c r="G21" s="607">
        <v>3</v>
      </c>
      <c r="H21" s="607"/>
      <c r="I21" s="607">
        <v>3.5</v>
      </c>
      <c r="K21" s="409">
        <v>10</v>
      </c>
      <c r="L21" s="349" t="e">
        <f>#REF!*K21</f>
        <v>#REF!</v>
      </c>
      <c r="M21" s="410">
        <v>4</v>
      </c>
      <c r="N21" s="411">
        <v>10</v>
      </c>
      <c r="O21" s="412">
        <f t="shared" si="0"/>
        <v>30</v>
      </c>
      <c r="P21" s="412">
        <f t="shared" si="1"/>
        <v>35</v>
      </c>
    </row>
    <row r="22" spans="1:16" s="30" customFormat="1" ht="81" customHeight="1" x14ac:dyDescent="0.25">
      <c r="A22" s="416" t="s">
        <v>46</v>
      </c>
      <c r="B22" s="146" t="s">
        <v>57</v>
      </c>
      <c r="C22" s="408">
        <v>0</v>
      </c>
      <c r="D22" s="200"/>
      <c r="E22" s="200"/>
      <c r="F22" s="606">
        <v>4</v>
      </c>
      <c r="G22" s="607">
        <v>3</v>
      </c>
      <c r="H22" s="594"/>
      <c r="I22" s="594">
        <v>3.5</v>
      </c>
      <c r="J22" s="503"/>
      <c r="K22" s="533">
        <v>5</v>
      </c>
      <c r="L22" s="595" t="e">
        <f>#REF!*K22</f>
        <v>#REF!</v>
      </c>
      <c r="M22" s="613">
        <v>4</v>
      </c>
      <c r="N22" s="533">
        <v>5</v>
      </c>
      <c r="O22" s="535">
        <f t="shared" si="0"/>
        <v>15</v>
      </c>
      <c r="P22" s="412">
        <f t="shared" si="1"/>
        <v>17.5</v>
      </c>
    </row>
    <row r="23" spans="1:16" s="30" customFormat="1" ht="91.5" customHeight="1" x14ac:dyDescent="0.25">
      <c r="A23" s="416" t="s">
        <v>51</v>
      </c>
      <c r="B23" s="146" t="s">
        <v>58</v>
      </c>
      <c r="C23" s="408">
        <v>0</v>
      </c>
      <c r="D23" s="200"/>
      <c r="E23" s="200"/>
      <c r="F23" s="606">
        <v>4</v>
      </c>
      <c r="G23" s="607">
        <v>3</v>
      </c>
      <c r="H23" s="594"/>
      <c r="I23" s="594">
        <v>3.5</v>
      </c>
      <c r="J23" s="503"/>
      <c r="K23" s="533">
        <v>5</v>
      </c>
      <c r="L23" s="595" t="e">
        <f>#REF!*K23</f>
        <v>#REF!</v>
      </c>
      <c r="M23" s="613">
        <v>4</v>
      </c>
      <c r="N23" s="533">
        <v>5</v>
      </c>
      <c r="O23" s="535">
        <f t="shared" si="0"/>
        <v>15</v>
      </c>
      <c r="P23" s="412">
        <f t="shared" si="1"/>
        <v>17.5</v>
      </c>
    </row>
    <row r="24" spans="1:16" s="30" customFormat="1" ht="63.75" customHeight="1" x14ac:dyDescent="0.25">
      <c r="A24" s="147">
        <v>4</v>
      </c>
      <c r="B24" s="413" t="s">
        <v>59</v>
      </c>
      <c r="C24" s="351"/>
      <c r="D24" s="366"/>
      <c r="E24" s="366"/>
      <c r="F24" s="604"/>
      <c r="G24" s="353"/>
      <c r="H24" s="594"/>
      <c r="I24" s="594"/>
      <c r="J24" s="503"/>
      <c r="K24" s="533"/>
      <c r="L24" s="595"/>
      <c r="M24" s="613"/>
      <c r="N24" s="614"/>
      <c r="O24" s="535"/>
      <c r="P24" s="412"/>
    </row>
    <row r="25" spans="1:16" s="30" customFormat="1" ht="48" customHeight="1" x14ac:dyDescent="0.25">
      <c r="A25" s="416" t="s">
        <v>44</v>
      </c>
      <c r="B25" s="146" t="s">
        <v>60</v>
      </c>
      <c r="C25" s="408">
        <v>0</v>
      </c>
      <c r="D25" s="200"/>
      <c r="E25" s="200"/>
      <c r="F25" s="606">
        <v>4</v>
      </c>
      <c r="G25" s="607">
        <v>3</v>
      </c>
      <c r="H25" s="594"/>
      <c r="I25" s="594">
        <v>3.5</v>
      </c>
      <c r="J25" s="503"/>
      <c r="K25" s="533">
        <v>12.5</v>
      </c>
      <c r="L25" s="595" t="e">
        <f>#REF!*K25</f>
        <v>#REF!</v>
      </c>
      <c r="M25" s="613">
        <v>4</v>
      </c>
      <c r="N25" s="533">
        <v>12.5</v>
      </c>
      <c r="O25" s="535">
        <f t="shared" si="0"/>
        <v>37.5</v>
      </c>
      <c r="P25" s="412">
        <f t="shared" si="1"/>
        <v>43.75</v>
      </c>
    </row>
    <row r="26" spans="1:16" s="30" customFormat="1" ht="95.25" customHeight="1" thickBot="1" x14ac:dyDescent="0.3">
      <c r="A26" s="417" t="s">
        <v>46</v>
      </c>
      <c r="B26" s="418" t="s">
        <v>61</v>
      </c>
      <c r="C26" s="408">
        <v>0</v>
      </c>
      <c r="D26" s="200"/>
      <c r="E26" s="200"/>
      <c r="F26" s="606">
        <v>4</v>
      </c>
      <c r="G26" s="607">
        <v>3</v>
      </c>
      <c r="H26" s="594"/>
      <c r="I26" s="594">
        <v>3.5</v>
      </c>
      <c r="J26" s="503"/>
      <c r="K26" s="540">
        <v>12.5</v>
      </c>
      <c r="L26" s="615" t="e">
        <f>#REF!*K26</f>
        <v>#REF!</v>
      </c>
      <c r="M26" s="616">
        <v>4</v>
      </c>
      <c r="N26" s="533">
        <v>12.5</v>
      </c>
      <c r="O26" s="535">
        <f t="shared" si="0"/>
        <v>37.5</v>
      </c>
      <c r="P26" s="412">
        <f t="shared" si="1"/>
        <v>43.75</v>
      </c>
    </row>
    <row r="27" spans="1:16" s="30" customFormat="1" ht="15.75" customHeight="1" thickBot="1" x14ac:dyDescent="0.3">
      <c r="A27" s="419" t="s">
        <v>62</v>
      </c>
      <c r="B27" s="420"/>
      <c r="C27" s="421"/>
      <c r="D27" s="209"/>
      <c r="E27" s="209"/>
      <c r="F27" s="617">
        <f>SUM(F13:F26)</f>
        <v>44</v>
      </c>
      <c r="G27" s="607"/>
      <c r="H27" s="594"/>
      <c r="I27" s="594"/>
      <c r="J27" s="503"/>
      <c r="K27" s="544">
        <f>SUM(K12:K26)</f>
        <v>100</v>
      </c>
      <c r="L27" s="544" t="e">
        <f t="shared" ref="L27:M27" si="2">SUM(L12:L26)</f>
        <v>#REF!</v>
      </c>
      <c r="M27" s="544">
        <f t="shared" si="2"/>
        <v>44</v>
      </c>
      <c r="N27" s="540">
        <f>SUM(N12:N26)</f>
        <v>100</v>
      </c>
      <c r="O27" s="540">
        <f>SUM(O12:O26)</f>
        <v>300</v>
      </c>
      <c r="P27" s="422">
        <f>SUM(P12:P26)</f>
        <v>350</v>
      </c>
    </row>
    <row r="28" spans="1:16" s="39" customFormat="1" ht="15.75" customHeight="1" x14ac:dyDescent="0.25">
      <c r="A28" s="479" t="s">
        <v>63</v>
      </c>
      <c r="H28" s="618"/>
      <c r="I28" s="618"/>
      <c r="J28" s="618"/>
      <c r="K28" s="618"/>
      <c r="L28" s="618"/>
      <c r="M28" s="618"/>
      <c r="N28" s="618"/>
      <c r="O28" s="618"/>
    </row>
    <row r="29" spans="1:16" s="39" customFormat="1" ht="15.75" customHeight="1" x14ac:dyDescent="0.25">
      <c r="C29" s="478" t="str">
        <f>'F6'!I90</f>
        <v>...................., ... - ....- 2014</v>
      </c>
      <c r="D29" s="98"/>
      <c r="E29" s="98"/>
      <c r="F29" s="98"/>
      <c r="G29" s="98"/>
      <c r="H29" s="98"/>
      <c r="I29" s="98"/>
      <c r="J29" s="98"/>
    </row>
    <row r="30" spans="1:16" s="39" customFormat="1" ht="15.75" x14ac:dyDescent="0.25">
      <c r="A30" s="98"/>
    </row>
    <row r="31" spans="1:16" s="39" customFormat="1" ht="15" customHeight="1" x14ac:dyDescent="0.25">
      <c r="A31" s="167"/>
      <c r="B31" s="178"/>
      <c r="C31" s="173" t="s">
        <v>1005</v>
      </c>
      <c r="D31" s="173" t="s">
        <v>1102</v>
      </c>
      <c r="E31" s="173" t="s">
        <v>1110</v>
      </c>
      <c r="F31" s="173"/>
      <c r="G31" s="173"/>
      <c r="H31" s="173"/>
      <c r="I31" s="173"/>
    </row>
    <row r="32" spans="1:16" s="39" customFormat="1" ht="15.75" customHeight="1" x14ac:dyDescent="0.25">
      <c r="A32" s="167"/>
      <c r="B32" s="178"/>
      <c r="C32" s="173"/>
      <c r="D32" s="173"/>
      <c r="E32" s="173"/>
      <c r="F32" s="173"/>
      <c r="G32" s="173"/>
      <c r="H32" s="547"/>
      <c r="I32" s="547"/>
      <c r="J32" s="547"/>
      <c r="K32" s="547"/>
      <c r="L32" s="547"/>
      <c r="M32" s="547"/>
      <c r="N32" s="547"/>
      <c r="O32" s="547"/>
    </row>
    <row r="33" spans="1:15" s="39" customFormat="1" ht="15.75" customHeight="1" x14ac:dyDescent="0.25">
      <c r="A33" s="167"/>
      <c r="B33" s="178"/>
      <c r="C33" s="173"/>
      <c r="D33" s="173"/>
      <c r="E33" s="173"/>
      <c r="F33" s="173"/>
      <c r="G33" s="173"/>
      <c r="H33" s="547"/>
      <c r="I33" s="547"/>
      <c r="J33" s="547"/>
      <c r="K33" s="547"/>
      <c r="L33" s="547"/>
      <c r="M33" s="547"/>
      <c r="N33" s="547"/>
      <c r="O33" s="547"/>
    </row>
    <row r="34" spans="1:15" s="39" customFormat="1" ht="15.75" customHeight="1" x14ac:dyDescent="0.25">
      <c r="A34" s="167"/>
      <c r="B34" s="178"/>
      <c r="C34" s="173"/>
      <c r="D34" s="173"/>
      <c r="E34" s="173"/>
      <c r="F34" s="173"/>
      <c r="G34" s="173"/>
      <c r="H34" s="547"/>
      <c r="I34" s="547"/>
      <c r="J34" s="547"/>
      <c r="K34" s="547"/>
      <c r="L34" s="547"/>
      <c r="M34" s="547"/>
      <c r="N34" s="547"/>
      <c r="O34" s="547"/>
    </row>
    <row r="35" spans="1:15" s="39" customFormat="1" ht="15.75" x14ac:dyDescent="0.25">
      <c r="A35" s="167"/>
      <c r="B35" s="178"/>
      <c r="C35" s="162">
        <v>1</v>
      </c>
      <c r="D35" s="50" t="s">
        <v>1111</v>
      </c>
      <c r="E35" s="173"/>
      <c r="F35" s="173"/>
      <c r="G35" s="173"/>
      <c r="H35" s="547"/>
      <c r="I35" s="547"/>
      <c r="J35" s="547"/>
      <c r="K35" s="547"/>
      <c r="L35" s="547"/>
      <c r="M35" s="547"/>
      <c r="N35" s="547"/>
      <c r="O35" s="547"/>
    </row>
    <row r="36" spans="1:15" s="39" customFormat="1" ht="15" customHeight="1" x14ac:dyDescent="0.25">
      <c r="A36" s="167"/>
      <c r="B36" s="167"/>
      <c r="C36" s="162"/>
      <c r="D36" s="173"/>
      <c r="E36" s="173"/>
      <c r="F36" s="173"/>
      <c r="G36" s="173"/>
      <c r="H36" s="547"/>
      <c r="I36" s="547"/>
      <c r="J36" s="547"/>
      <c r="K36" s="547"/>
      <c r="L36" s="547"/>
      <c r="M36" s="547"/>
      <c r="N36" s="547"/>
      <c r="O36" s="547"/>
    </row>
    <row r="37" spans="1:15" s="39" customFormat="1" ht="15.75" customHeight="1" x14ac:dyDescent="0.25">
      <c r="A37" s="167"/>
      <c r="B37" s="167"/>
      <c r="C37" s="162"/>
      <c r="D37" s="173"/>
      <c r="E37" s="173"/>
      <c r="F37" s="173"/>
      <c r="G37" s="173"/>
      <c r="H37" s="547"/>
      <c r="I37" s="547"/>
      <c r="J37" s="547"/>
      <c r="K37" s="547"/>
      <c r="L37" s="547"/>
      <c r="M37" s="547"/>
      <c r="N37" s="547"/>
      <c r="O37" s="547"/>
    </row>
    <row r="38" spans="1:15" s="39" customFormat="1" ht="15" customHeight="1" x14ac:dyDescent="0.25">
      <c r="A38" s="60"/>
      <c r="B38" s="60"/>
      <c r="C38" s="162"/>
      <c r="D38" s="173"/>
      <c r="E38" s="173"/>
      <c r="F38" s="173"/>
      <c r="G38" s="173"/>
      <c r="H38" s="547"/>
      <c r="I38" s="547"/>
      <c r="J38" s="547"/>
      <c r="K38" s="547"/>
      <c r="L38" s="547"/>
      <c r="M38" s="547"/>
      <c r="N38" s="547"/>
      <c r="O38" s="547"/>
    </row>
    <row r="39" spans="1:15" ht="15.75" customHeight="1" x14ac:dyDescent="0.25">
      <c r="A39" s="60"/>
      <c r="B39" s="180"/>
      <c r="C39" s="162">
        <v>2</v>
      </c>
      <c r="D39" s="173"/>
      <c r="E39" s="50" t="s">
        <v>1112</v>
      </c>
      <c r="F39" s="173"/>
      <c r="G39" s="173"/>
      <c r="H39" s="173"/>
      <c r="I39" s="173"/>
    </row>
    <row r="40" spans="1:15" ht="15.75" customHeight="1" x14ac:dyDescent="0.25">
      <c r="A40" s="182"/>
      <c r="B40" s="182"/>
      <c r="C40" s="173"/>
      <c r="D40" s="173"/>
      <c r="E40" s="173"/>
      <c r="F40" s="173"/>
      <c r="G40" s="173"/>
      <c r="H40" s="173"/>
      <c r="I40" s="173"/>
    </row>
    <row r="41" spans="1:15" ht="15.75" x14ac:dyDescent="0.25">
      <c r="C41" s="173"/>
      <c r="D41" s="173"/>
      <c r="E41" s="173"/>
      <c r="F41" s="173"/>
      <c r="G41" s="173"/>
      <c r="H41" s="173"/>
      <c r="I41" s="173"/>
    </row>
    <row r="42" spans="1:15" ht="15.75" x14ac:dyDescent="0.25">
      <c r="C42" s="173"/>
      <c r="D42" s="173"/>
      <c r="E42" s="173"/>
      <c r="F42" s="173"/>
      <c r="G42" s="173"/>
      <c r="H42" s="173"/>
      <c r="I42" s="173"/>
    </row>
    <row r="43" spans="1:15" ht="15.75" x14ac:dyDescent="0.25">
      <c r="C43" s="173"/>
      <c r="D43" s="173"/>
      <c r="E43" s="173"/>
      <c r="F43" s="173"/>
      <c r="G43" s="173"/>
      <c r="H43" s="173"/>
      <c r="I43" s="173"/>
    </row>
    <row r="44" spans="1:15" ht="15.75" x14ac:dyDescent="0.25">
      <c r="C44" s="173"/>
      <c r="D44" s="173"/>
      <c r="E44" s="173"/>
      <c r="F44" s="173"/>
      <c r="G44" s="173"/>
      <c r="H44" s="173"/>
      <c r="I44" s="173"/>
    </row>
    <row r="45" spans="1:15" ht="15.75" x14ac:dyDescent="0.25">
      <c r="C45" s="173"/>
      <c r="D45" s="173"/>
      <c r="E45" s="173"/>
      <c r="F45" s="173"/>
      <c r="G45" s="173"/>
      <c r="H45" s="173"/>
      <c r="I45" s="173"/>
    </row>
    <row r="46" spans="1:15" ht="15" customHeight="1" x14ac:dyDescent="0.25"/>
    <row r="49" spans="1:1" ht="30" customHeight="1" x14ac:dyDescent="0.25"/>
    <row r="51" spans="1:1" ht="15.75" x14ac:dyDescent="0.25">
      <c r="A51" s="98"/>
    </row>
    <row r="53" spans="1:1" ht="15.75" x14ac:dyDescent="0.25">
      <c r="A53" s="479"/>
    </row>
  </sheetData>
  <sheetProtection formatCells="0" formatColumns="0" formatRows="0"/>
  <mergeCells count="20">
    <mergeCell ref="O10:O11"/>
    <mergeCell ref="P10:P11"/>
    <mergeCell ref="G10:G11"/>
    <mergeCell ref="H10:H11"/>
    <mergeCell ref="I10:I11"/>
    <mergeCell ref="K10:L10"/>
    <mergeCell ref="M10:M11"/>
    <mergeCell ref="N10:N11"/>
    <mergeCell ref="F10:F11"/>
    <mergeCell ref="A1:F1"/>
    <mergeCell ref="A3:B3"/>
    <mergeCell ref="A4:B4"/>
    <mergeCell ref="A5:B5"/>
    <mergeCell ref="A6:B6"/>
    <mergeCell ref="A9:F9"/>
    <mergeCell ref="A10:A11"/>
    <mergeCell ref="B10:B11"/>
    <mergeCell ref="C10:C11"/>
    <mergeCell ref="D10:D11"/>
    <mergeCell ref="E10:E11"/>
  </mergeCells>
  <pageMargins left="0.70866141732283505" right="0.70866141732283505" top="0.74803149606299202" bottom="0.74803149606299202" header="0.31496062992126" footer="0.31496062992126"/>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topLeftCell="E1" zoomScaleNormal="100" workbookViewId="0">
      <selection activeCell="H4" sqref="H4:L4"/>
    </sheetView>
  </sheetViews>
  <sheetFormatPr defaultRowHeight="15" x14ac:dyDescent="0.25"/>
  <cols>
    <col min="1" max="1" width="6.85546875" style="15" customWidth="1"/>
    <col min="2" max="2" width="11.42578125" style="15" customWidth="1"/>
    <col min="3" max="3" width="32.5703125" style="15" customWidth="1"/>
    <col min="4" max="4" width="33" style="15" customWidth="1"/>
    <col min="5" max="6" width="26.140625" style="15" customWidth="1"/>
    <col min="7" max="7" width="9.140625" style="15"/>
    <col min="8" max="8" width="12.140625" style="15" customWidth="1"/>
    <col min="9" max="9" width="11.140625" style="15" customWidth="1"/>
    <col min="10" max="10" width="14.7109375" style="15" customWidth="1"/>
    <col min="11" max="12" width="9.140625" style="15"/>
    <col min="13" max="13" width="11.28515625" style="15" customWidth="1"/>
    <col min="14" max="14" width="19.28515625" style="15" customWidth="1"/>
    <col min="15" max="15" width="18.140625" style="15" customWidth="1"/>
    <col min="16" max="16384" width="9.140625" style="15"/>
  </cols>
  <sheetData>
    <row r="1" spans="1:20" s="39" customFormat="1" ht="37.5" customHeight="1" x14ac:dyDescent="0.25">
      <c r="A1" s="722" t="s">
        <v>1009</v>
      </c>
      <c r="B1" s="722"/>
      <c r="C1" s="722"/>
      <c r="D1" s="722"/>
      <c r="E1" s="722"/>
      <c r="F1" s="722"/>
      <c r="G1" s="722"/>
      <c r="H1" s="469"/>
      <c r="I1" s="469"/>
      <c r="J1" s="469"/>
      <c r="K1" s="469"/>
    </row>
    <row r="2" spans="1:20" s="39" customFormat="1" ht="15.75" x14ac:dyDescent="0.25">
      <c r="A2" s="50"/>
      <c r="B2" s="44"/>
      <c r="C2" s="42"/>
      <c r="D2" s="42"/>
      <c r="E2" s="42"/>
      <c r="F2" s="42"/>
    </row>
    <row r="3" spans="1:20" s="39" customFormat="1" ht="34.5" customHeight="1" x14ac:dyDescent="0.25">
      <c r="A3" s="892" t="s">
        <v>1007</v>
      </c>
      <c r="B3" s="892"/>
      <c r="C3" s="892"/>
      <c r="D3" s="892"/>
      <c r="E3" s="892"/>
      <c r="F3" s="892"/>
      <c r="G3" s="892"/>
      <c r="H3" s="483"/>
      <c r="I3" s="483"/>
      <c r="J3" s="483"/>
      <c r="K3" s="483"/>
    </row>
    <row r="4" spans="1:20" s="39" customFormat="1" ht="15.75" x14ac:dyDescent="0.25">
      <c r="A4" s="160"/>
      <c r="B4" s="44"/>
      <c r="C4" s="42"/>
      <c r="D4" s="42"/>
      <c r="E4" s="42"/>
      <c r="F4" s="42"/>
    </row>
    <row r="5" spans="1:20" s="39" customFormat="1" ht="54" customHeight="1" x14ac:dyDescent="0.25">
      <c r="A5" s="893" t="s">
        <v>1050</v>
      </c>
      <c r="B5" s="893"/>
      <c r="C5" s="893"/>
      <c r="D5" s="893"/>
      <c r="E5" s="893"/>
      <c r="F5" s="893"/>
      <c r="G5" s="893"/>
      <c r="H5" s="484"/>
      <c r="I5" s="484"/>
      <c r="J5" s="484"/>
      <c r="K5" s="484"/>
    </row>
    <row r="6" spans="1:20" s="39" customFormat="1" ht="33" customHeight="1" thickBot="1" x14ac:dyDescent="0.3">
      <c r="A6" s="744" t="s">
        <v>1006</v>
      </c>
      <c r="B6" s="744"/>
      <c r="C6" s="744"/>
      <c r="D6" s="744"/>
      <c r="E6" s="744"/>
      <c r="F6" s="744"/>
      <c r="G6" s="744"/>
      <c r="H6" s="472"/>
      <c r="I6" s="472"/>
      <c r="J6" s="472"/>
      <c r="K6" s="472"/>
      <c r="L6" s="473"/>
      <c r="M6" s="473"/>
      <c r="N6" s="473"/>
      <c r="O6" s="473"/>
      <c r="P6" s="473"/>
      <c r="Q6" s="473"/>
      <c r="R6" s="473"/>
      <c r="S6" s="473"/>
      <c r="T6" s="473"/>
    </row>
    <row r="7" spans="1:20" s="30" customFormat="1" ht="63" customHeight="1" thickBot="1" x14ac:dyDescent="0.3">
      <c r="A7" s="112" t="s">
        <v>1</v>
      </c>
      <c r="B7" s="123" t="s">
        <v>2</v>
      </c>
      <c r="C7" s="123" t="s">
        <v>240</v>
      </c>
      <c r="D7" s="123" t="s">
        <v>246</v>
      </c>
      <c r="E7" s="123" t="s">
        <v>1095</v>
      </c>
      <c r="F7" s="123" t="s">
        <v>1096</v>
      </c>
      <c r="G7" s="619" t="s">
        <v>216</v>
      </c>
      <c r="H7" s="620" t="s">
        <v>1108</v>
      </c>
      <c r="I7" s="620" t="s">
        <v>1098</v>
      </c>
      <c r="J7" s="621" t="s">
        <v>1109</v>
      </c>
      <c r="K7" s="585"/>
      <c r="M7" s="397" t="s">
        <v>5</v>
      </c>
      <c r="N7" s="622" t="s">
        <v>1100</v>
      </c>
      <c r="O7" s="622" t="s">
        <v>1101</v>
      </c>
    </row>
    <row r="8" spans="1:20" s="30" customFormat="1" ht="81" customHeight="1" x14ac:dyDescent="0.25">
      <c r="A8" s="126">
        <v>1</v>
      </c>
      <c r="B8" s="183" t="s">
        <v>64</v>
      </c>
      <c r="C8" s="188" t="s">
        <v>271</v>
      </c>
      <c r="D8" s="115">
        <v>0</v>
      </c>
      <c r="E8" s="455"/>
      <c r="F8" s="623"/>
      <c r="G8" s="401">
        <f>'F8'!F13</f>
        <v>4</v>
      </c>
      <c r="H8" s="624">
        <v>3</v>
      </c>
      <c r="I8" s="625"/>
      <c r="J8" s="626">
        <v>3.5</v>
      </c>
      <c r="K8" s="627"/>
      <c r="M8" s="399">
        <v>1.8518518518518516</v>
      </c>
      <c r="N8" s="398">
        <f>H8*$M8</f>
        <v>5.5555555555555554</v>
      </c>
      <c r="O8" s="398">
        <f>J8*$M8</f>
        <v>6.481481481481481</v>
      </c>
    </row>
    <row r="9" spans="1:20" s="30" customFormat="1" ht="87.75" customHeight="1" x14ac:dyDescent="0.25">
      <c r="A9" s="189">
        <v>2</v>
      </c>
      <c r="B9" s="190" t="s">
        <v>65</v>
      </c>
      <c r="C9" s="213" t="s">
        <v>272</v>
      </c>
      <c r="D9" s="117">
        <v>0</v>
      </c>
      <c r="E9" s="456"/>
      <c r="F9" s="623"/>
      <c r="G9" s="401">
        <f>'F8'!F14</f>
        <v>4</v>
      </c>
      <c r="H9" s="624">
        <v>3</v>
      </c>
      <c r="I9" s="625"/>
      <c r="J9" s="626">
        <v>3.5</v>
      </c>
      <c r="K9" s="627"/>
      <c r="M9" s="399">
        <v>1.8518518518518516</v>
      </c>
      <c r="N9" s="398">
        <f t="shared" ref="N9:N52" si="0">H9*M9</f>
        <v>5.5555555555555554</v>
      </c>
      <c r="O9" s="398">
        <f t="shared" ref="O9:O52" si="1">J9*$M9</f>
        <v>6.481481481481481</v>
      </c>
    </row>
    <row r="10" spans="1:20" s="30" customFormat="1" ht="108.75" customHeight="1" x14ac:dyDescent="0.25">
      <c r="A10" s="189">
        <v>3</v>
      </c>
      <c r="B10" s="190">
        <v>1.2</v>
      </c>
      <c r="C10" s="213" t="s">
        <v>758</v>
      </c>
      <c r="D10" s="117">
        <v>0</v>
      </c>
      <c r="E10" s="456"/>
      <c r="F10" s="623"/>
      <c r="G10" s="401">
        <f>'F8'!F15</f>
        <v>4</v>
      </c>
      <c r="H10" s="624">
        <v>3</v>
      </c>
      <c r="I10" s="625"/>
      <c r="J10" s="626">
        <v>3.5</v>
      </c>
      <c r="K10" s="627"/>
      <c r="M10" s="399">
        <v>1.8518518518518516</v>
      </c>
      <c r="N10" s="398">
        <f t="shared" si="0"/>
        <v>5.5555555555555554</v>
      </c>
      <c r="O10" s="398">
        <f t="shared" si="1"/>
        <v>6.481481481481481</v>
      </c>
    </row>
    <row r="11" spans="1:20" s="30" customFormat="1" ht="54" customHeight="1" x14ac:dyDescent="0.25">
      <c r="A11" s="189">
        <v>4</v>
      </c>
      <c r="B11" s="190">
        <v>2.1</v>
      </c>
      <c r="C11" s="213" t="s">
        <v>273</v>
      </c>
      <c r="D11" s="117">
        <v>0</v>
      </c>
      <c r="E11" s="456"/>
      <c r="F11" s="623"/>
      <c r="G11" s="401">
        <f>'F8'!F16</f>
        <v>4</v>
      </c>
      <c r="H11" s="624">
        <v>3</v>
      </c>
      <c r="I11" s="625"/>
      <c r="J11" s="626">
        <v>3.5</v>
      </c>
      <c r="K11" s="627"/>
      <c r="M11" s="399">
        <v>3.333333333333333</v>
      </c>
      <c r="N11" s="398">
        <f t="shared" si="0"/>
        <v>10</v>
      </c>
      <c r="O11" s="398">
        <f t="shared" si="1"/>
        <v>11.666666666666666</v>
      </c>
    </row>
    <row r="12" spans="1:20" s="30" customFormat="1" ht="93" customHeight="1" x14ac:dyDescent="0.25">
      <c r="A12" s="189">
        <v>5</v>
      </c>
      <c r="B12" s="190">
        <v>2.2000000000000002</v>
      </c>
      <c r="C12" s="213" t="s">
        <v>274</v>
      </c>
      <c r="D12" s="117">
        <v>0</v>
      </c>
      <c r="E12" s="456"/>
      <c r="F12" s="623"/>
      <c r="G12" s="401">
        <f>'F8'!F17</f>
        <v>4</v>
      </c>
      <c r="H12" s="628">
        <v>3</v>
      </c>
      <c r="I12" s="629"/>
      <c r="J12" s="630">
        <v>3.5</v>
      </c>
      <c r="K12" s="631"/>
      <c r="L12" s="486"/>
      <c r="M12" s="592">
        <v>1.6666666666666665</v>
      </c>
      <c r="N12" s="593">
        <f t="shared" si="0"/>
        <v>5</v>
      </c>
      <c r="O12" s="593">
        <f t="shared" si="1"/>
        <v>5.833333333333333</v>
      </c>
    </row>
    <row r="13" spans="1:20" s="30" customFormat="1" ht="75.75" customHeight="1" x14ac:dyDescent="0.25">
      <c r="A13" s="189">
        <v>6</v>
      </c>
      <c r="B13" s="190">
        <v>2.2999999999999998</v>
      </c>
      <c r="C13" s="213" t="s">
        <v>763</v>
      </c>
      <c r="D13" s="117">
        <v>0</v>
      </c>
      <c r="E13" s="456"/>
      <c r="F13" s="623"/>
      <c r="G13" s="401">
        <f>'F8'!F18</f>
        <v>4</v>
      </c>
      <c r="H13" s="628">
        <v>3</v>
      </c>
      <c r="I13" s="629"/>
      <c r="J13" s="630">
        <v>3.5</v>
      </c>
      <c r="K13" s="631"/>
      <c r="L13" s="486"/>
      <c r="M13" s="592">
        <v>3.333333333333333</v>
      </c>
      <c r="N13" s="593">
        <f t="shared" si="0"/>
        <v>10</v>
      </c>
      <c r="O13" s="593">
        <f t="shared" si="1"/>
        <v>11.666666666666666</v>
      </c>
    </row>
    <row r="14" spans="1:20" s="30" customFormat="1" ht="78.75" customHeight="1" x14ac:dyDescent="0.25">
      <c r="A14" s="189">
        <v>7</v>
      </c>
      <c r="B14" s="190">
        <v>2.4</v>
      </c>
      <c r="C14" s="213" t="s">
        <v>275</v>
      </c>
      <c r="D14" s="117">
        <v>0</v>
      </c>
      <c r="E14" s="456"/>
      <c r="F14" s="623"/>
      <c r="G14" s="401">
        <f>'F8'!F19</f>
        <v>4</v>
      </c>
      <c r="H14" s="628">
        <v>3</v>
      </c>
      <c r="I14" s="629"/>
      <c r="J14" s="630">
        <v>3.5</v>
      </c>
      <c r="K14" s="631"/>
      <c r="L14" s="486"/>
      <c r="M14" s="592">
        <v>3.333333333333333</v>
      </c>
      <c r="N14" s="593">
        <f t="shared" si="0"/>
        <v>10</v>
      </c>
      <c r="O14" s="593">
        <f t="shared" si="1"/>
        <v>11.666666666666666</v>
      </c>
    </row>
    <row r="15" spans="1:20" s="30" customFormat="1" ht="66.75" customHeight="1" x14ac:dyDescent="0.25">
      <c r="A15" s="189">
        <v>8</v>
      </c>
      <c r="B15" s="190" t="s">
        <v>68</v>
      </c>
      <c r="C15" s="213" t="s">
        <v>276</v>
      </c>
      <c r="D15" s="117">
        <v>0</v>
      </c>
      <c r="E15" s="456"/>
      <c r="F15" s="623"/>
      <c r="G15" s="401">
        <f>'F8'!F20</f>
        <v>4</v>
      </c>
      <c r="H15" s="628">
        <v>3</v>
      </c>
      <c r="I15" s="629"/>
      <c r="J15" s="630">
        <v>3.5</v>
      </c>
      <c r="K15" s="631"/>
      <c r="L15" s="486"/>
      <c r="M15" s="592">
        <v>3.333333333333333</v>
      </c>
      <c r="N15" s="593">
        <f t="shared" si="0"/>
        <v>10</v>
      </c>
      <c r="O15" s="593">
        <f t="shared" si="1"/>
        <v>11.666666666666666</v>
      </c>
    </row>
    <row r="16" spans="1:20" s="30" customFormat="1" ht="58.5" customHeight="1" x14ac:dyDescent="0.25">
      <c r="A16" s="189">
        <v>9</v>
      </c>
      <c r="B16" s="190" t="s">
        <v>70</v>
      </c>
      <c r="C16" s="213" t="s">
        <v>277</v>
      </c>
      <c r="D16" s="117">
        <v>0</v>
      </c>
      <c r="E16" s="456"/>
      <c r="F16" s="623"/>
      <c r="G16" s="401">
        <f>'F8'!F21</f>
        <v>4</v>
      </c>
      <c r="H16" s="628">
        <v>3</v>
      </c>
      <c r="I16" s="629"/>
      <c r="J16" s="630">
        <v>3.5</v>
      </c>
      <c r="K16" s="631"/>
      <c r="L16" s="486"/>
      <c r="M16" s="592">
        <v>1.6666666666666665</v>
      </c>
      <c r="N16" s="593">
        <f t="shared" si="0"/>
        <v>5</v>
      </c>
      <c r="O16" s="593">
        <f t="shared" si="1"/>
        <v>5.833333333333333</v>
      </c>
    </row>
    <row r="17" spans="1:15" s="30" customFormat="1" ht="75.75" customHeight="1" x14ac:dyDescent="0.25">
      <c r="A17" s="189">
        <v>10</v>
      </c>
      <c r="B17" s="190" t="s">
        <v>72</v>
      </c>
      <c r="C17" s="213" t="s">
        <v>278</v>
      </c>
      <c r="D17" s="117">
        <v>0</v>
      </c>
      <c r="E17" s="456"/>
      <c r="F17" s="623"/>
      <c r="G17" s="401">
        <f>'F8'!F22</f>
        <v>4</v>
      </c>
      <c r="H17" s="628">
        <v>3</v>
      </c>
      <c r="I17" s="629"/>
      <c r="J17" s="630">
        <v>3.5</v>
      </c>
      <c r="K17" s="631"/>
      <c r="L17" s="486"/>
      <c r="M17" s="592">
        <v>3.3670033670033668</v>
      </c>
      <c r="N17" s="593">
        <f t="shared" si="0"/>
        <v>10.1010101010101</v>
      </c>
      <c r="O17" s="593">
        <f t="shared" si="1"/>
        <v>11.784511784511784</v>
      </c>
    </row>
    <row r="18" spans="1:15" s="30" customFormat="1" ht="54.75" customHeight="1" x14ac:dyDescent="0.25">
      <c r="A18" s="189">
        <v>11</v>
      </c>
      <c r="B18" s="190" t="s">
        <v>9</v>
      </c>
      <c r="C18" s="213" t="s">
        <v>1165</v>
      </c>
      <c r="D18" s="117">
        <v>0</v>
      </c>
      <c r="E18" s="456"/>
      <c r="F18" s="623"/>
      <c r="G18" s="401">
        <f>'F8'!F23</f>
        <v>4</v>
      </c>
      <c r="H18" s="628">
        <v>3</v>
      </c>
      <c r="I18" s="629"/>
      <c r="J18" s="630">
        <v>3.5</v>
      </c>
      <c r="K18" s="631"/>
      <c r="L18" s="486"/>
      <c r="M18" s="592">
        <v>0.33670033670033672</v>
      </c>
      <c r="N18" s="593">
        <f t="shared" si="0"/>
        <v>1.0101010101010102</v>
      </c>
      <c r="O18" s="593">
        <f t="shared" si="1"/>
        <v>1.1784511784511786</v>
      </c>
    </row>
    <row r="19" spans="1:15" s="30" customFormat="1" ht="73.5" customHeight="1" x14ac:dyDescent="0.25">
      <c r="A19" s="189">
        <v>12</v>
      </c>
      <c r="B19" s="190" t="s">
        <v>10</v>
      </c>
      <c r="C19" s="213" t="s">
        <v>281</v>
      </c>
      <c r="D19" s="117">
        <v>0</v>
      </c>
      <c r="E19" s="456"/>
      <c r="F19" s="623"/>
      <c r="G19" s="401">
        <f>'F8'!F24</f>
        <v>4</v>
      </c>
      <c r="H19" s="624">
        <v>3</v>
      </c>
      <c r="I19" s="625"/>
      <c r="J19" s="626">
        <v>3.5</v>
      </c>
      <c r="K19" s="627"/>
      <c r="M19" s="399">
        <v>0.67340067340067344</v>
      </c>
      <c r="N19" s="398">
        <f t="shared" si="0"/>
        <v>2.0202020202020203</v>
      </c>
      <c r="O19" s="398">
        <f t="shared" si="1"/>
        <v>2.3569023569023573</v>
      </c>
    </row>
    <row r="20" spans="1:15" s="30" customFormat="1" ht="56.25" customHeight="1" x14ac:dyDescent="0.25">
      <c r="A20" s="189">
        <v>13</v>
      </c>
      <c r="B20" s="190">
        <v>3.2</v>
      </c>
      <c r="C20" s="213" t="s">
        <v>1166</v>
      </c>
      <c r="D20" s="117">
        <v>0</v>
      </c>
      <c r="E20" s="456"/>
      <c r="F20" s="623"/>
      <c r="G20" s="401">
        <f>'F8'!F25</f>
        <v>4</v>
      </c>
      <c r="H20" s="624">
        <v>3</v>
      </c>
      <c r="I20" s="625"/>
      <c r="J20" s="626">
        <v>3.5</v>
      </c>
      <c r="K20" s="627"/>
      <c r="M20" s="399">
        <v>3.3670033670033668</v>
      </c>
      <c r="N20" s="398">
        <f t="shared" si="0"/>
        <v>10.1010101010101</v>
      </c>
      <c r="O20" s="398">
        <f t="shared" si="1"/>
        <v>11.784511784511784</v>
      </c>
    </row>
    <row r="21" spans="1:15" s="30" customFormat="1" ht="77.25" customHeight="1" x14ac:dyDescent="0.25">
      <c r="A21" s="189">
        <v>14</v>
      </c>
      <c r="B21" s="190">
        <v>3.3</v>
      </c>
      <c r="C21" s="213" t="s">
        <v>282</v>
      </c>
      <c r="D21" s="117">
        <v>0</v>
      </c>
      <c r="E21" s="456"/>
      <c r="F21" s="623"/>
      <c r="G21" s="401">
        <f>'F8'!F26</f>
        <v>4</v>
      </c>
      <c r="H21" s="624">
        <v>3</v>
      </c>
      <c r="I21" s="625"/>
      <c r="J21" s="626">
        <v>3.5</v>
      </c>
      <c r="K21" s="627"/>
      <c r="M21" s="399">
        <v>3.3670033670033668</v>
      </c>
      <c r="N21" s="398">
        <f t="shared" si="0"/>
        <v>10.1010101010101</v>
      </c>
      <c r="O21" s="398">
        <f t="shared" si="1"/>
        <v>11.784511784511784</v>
      </c>
    </row>
    <row r="22" spans="1:15" s="30" customFormat="1" ht="48" customHeight="1" x14ac:dyDescent="0.25">
      <c r="A22" s="189">
        <v>15</v>
      </c>
      <c r="B22" s="190" t="s">
        <v>175</v>
      </c>
      <c r="C22" s="213" t="s">
        <v>1167</v>
      </c>
      <c r="D22" s="117">
        <v>0</v>
      </c>
      <c r="E22" s="456"/>
      <c r="F22" s="623"/>
      <c r="G22" s="401">
        <f>'F8'!F27</f>
        <v>4</v>
      </c>
      <c r="H22" s="632">
        <v>3</v>
      </c>
      <c r="I22" s="633"/>
      <c r="J22" s="634">
        <v>3.5</v>
      </c>
      <c r="K22" s="635"/>
      <c r="L22" s="503"/>
      <c r="M22" s="596">
        <v>5.2287581699346406</v>
      </c>
      <c r="N22" s="597">
        <f t="shared" si="0"/>
        <v>15.686274509803923</v>
      </c>
      <c r="O22" s="597">
        <f t="shared" si="1"/>
        <v>18.300653594771241</v>
      </c>
    </row>
    <row r="23" spans="1:15" s="30" customFormat="1" ht="60.75" customHeight="1" x14ac:dyDescent="0.25">
      <c r="A23" s="189">
        <v>16</v>
      </c>
      <c r="B23" s="190" t="s">
        <v>176</v>
      </c>
      <c r="C23" s="213" t="s">
        <v>1168</v>
      </c>
      <c r="D23" s="117">
        <v>0</v>
      </c>
      <c r="E23" s="456"/>
      <c r="F23" s="623"/>
      <c r="G23" s="401">
        <f>'F8'!F28</f>
        <v>4</v>
      </c>
      <c r="H23" s="632">
        <v>3</v>
      </c>
      <c r="I23" s="633"/>
      <c r="J23" s="634">
        <v>3.5</v>
      </c>
      <c r="K23" s="635"/>
      <c r="L23" s="503"/>
      <c r="M23" s="596">
        <v>2.6143790849673203</v>
      </c>
      <c r="N23" s="597">
        <f t="shared" si="0"/>
        <v>7.8431372549019613</v>
      </c>
      <c r="O23" s="597">
        <f t="shared" si="1"/>
        <v>9.1503267973856204</v>
      </c>
    </row>
    <row r="24" spans="1:15" s="30" customFormat="1" ht="52.5" customHeight="1" x14ac:dyDescent="0.25">
      <c r="A24" s="189">
        <v>17</v>
      </c>
      <c r="B24" s="190" t="s">
        <v>178</v>
      </c>
      <c r="C24" s="213" t="s">
        <v>1169</v>
      </c>
      <c r="D24" s="117">
        <v>0</v>
      </c>
      <c r="E24" s="456"/>
      <c r="F24" s="623"/>
      <c r="G24" s="401">
        <f>'F8'!F29</f>
        <v>4</v>
      </c>
      <c r="H24" s="632">
        <v>3</v>
      </c>
      <c r="I24" s="633"/>
      <c r="J24" s="634">
        <v>3.5</v>
      </c>
      <c r="K24" s="635"/>
      <c r="L24" s="503"/>
      <c r="M24" s="596">
        <v>2.6143790849673203</v>
      </c>
      <c r="N24" s="597">
        <f t="shared" si="0"/>
        <v>7.8431372549019613</v>
      </c>
      <c r="O24" s="597">
        <f t="shared" si="1"/>
        <v>9.1503267973856204</v>
      </c>
    </row>
    <row r="25" spans="1:15" s="30" customFormat="1" ht="72.75" customHeight="1" x14ac:dyDescent="0.25">
      <c r="A25" s="189">
        <v>18</v>
      </c>
      <c r="B25" s="190" t="s">
        <v>180</v>
      </c>
      <c r="C25" s="213" t="s">
        <v>283</v>
      </c>
      <c r="D25" s="117">
        <v>0</v>
      </c>
      <c r="E25" s="456"/>
      <c r="F25" s="623"/>
      <c r="G25" s="401">
        <f>'F8'!F30</f>
        <v>4</v>
      </c>
      <c r="H25" s="632">
        <v>3</v>
      </c>
      <c r="I25" s="633"/>
      <c r="J25" s="634">
        <v>3.5</v>
      </c>
      <c r="K25" s="635"/>
      <c r="L25" s="503"/>
      <c r="M25" s="596">
        <v>2.6143790849673203</v>
      </c>
      <c r="N25" s="597">
        <f t="shared" si="0"/>
        <v>7.8431372549019613</v>
      </c>
      <c r="O25" s="597">
        <f t="shared" si="1"/>
        <v>9.1503267973856204</v>
      </c>
    </row>
    <row r="26" spans="1:15" s="30" customFormat="1" ht="53.25" customHeight="1" x14ac:dyDescent="0.25">
      <c r="A26" s="189">
        <v>19</v>
      </c>
      <c r="B26" s="190" t="s">
        <v>181</v>
      </c>
      <c r="C26" s="213" t="s">
        <v>284</v>
      </c>
      <c r="D26" s="117">
        <v>0</v>
      </c>
      <c r="E26" s="456"/>
      <c r="F26" s="623"/>
      <c r="G26" s="401">
        <f>'F8'!F31</f>
        <v>4</v>
      </c>
      <c r="H26" s="632">
        <v>3</v>
      </c>
      <c r="I26" s="633"/>
      <c r="J26" s="634">
        <v>3.5</v>
      </c>
      <c r="K26" s="635"/>
      <c r="L26" s="503"/>
      <c r="M26" s="596">
        <v>2.6143790849673203</v>
      </c>
      <c r="N26" s="597">
        <f t="shared" si="0"/>
        <v>7.8431372549019613</v>
      </c>
      <c r="O26" s="597">
        <f t="shared" si="1"/>
        <v>9.1503267973856204</v>
      </c>
    </row>
    <row r="27" spans="1:15" s="30" customFormat="1" ht="62.25" customHeight="1" x14ac:dyDescent="0.25">
      <c r="A27" s="189">
        <v>20</v>
      </c>
      <c r="B27" s="190" t="s">
        <v>182</v>
      </c>
      <c r="C27" s="213" t="s">
        <v>285</v>
      </c>
      <c r="D27" s="117">
        <v>0</v>
      </c>
      <c r="E27" s="456"/>
      <c r="F27" s="623"/>
      <c r="G27" s="401">
        <f>'F8'!F32</f>
        <v>4</v>
      </c>
      <c r="H27" s="632">
        <v>3</v>
      </c>
      <c r="I27" s="633"/>
      <c r="J27" s="634">
        <v>3.5</v>
      </c>
      <c r="K27" s="635"/>
      <c r="L27" s="503"/>
      <c r="M27" s="596">
        <v>1.3071895424836601</v>
      </c>
      <c r="N27" s="597">
        <f t="shared" si="0"/>
        <v>3.9215686274509807</v>
      </c>
      <c r="O27" s="597">
        <f t="shared" si="1"/>
        <v>4.5751633986928102</v>
      </c>
    </row>
    <row r="28" spans="1:15" s="30" customFormat="1" ht="78" customHeight="1" x14ac:dyDescent="0.25">
      <c r="A28" s="189">
        <v>21</v>
      </c>
      <c r="B28" s="190" t="s">
        <v>76</v>
      </c>
      <c r="C28" s="213" t="s">
        <v>286</v>
      </c>
      <c r="D28" s="117">
        <v>0</v>
      </c>
      <c r="E28" s="456"/>
      <c r="F28" s="623"/>
      <c r="G28" s="401">
        <f>'F8'!F33</f>
        <v>4</v>
      </c>
      <c r="H28" s="632">
        <v>3</v>
      </c>
      <c r="I28" s="633"/>
      <c r="J28" s="634">
        <v>3.5</v>
      </c>
      <c r="K28" s="635"/>
      <c r="L28" s="503"/>
      <c r="M28" s="596">
        <v>2.6143790849673203</v>
      </c>
      <c r="N28" s="597">
        <f t="shared" si="0"/>
        <v>7.8431372549019613</v>
      </c>
      <c r="O28" s="597">
        <f t="shared" si="1"/>
        <v>9.1503267973856204</v>
      </c>
    </row>
    <row r="29" spans="1:15" s="30" customFormat="1" ht="66" customHeight="1" x14ac:dyDescent="0.25">
      <c r="A29" s="189">
        <v>22</v>
      </c>
      <c r="B29" s="190">
        <v>4.2</v>
      </c>
      <c r="C29" s="213" t="s">
        <v>287</v>
      </c>
      <c r="D29" s="117">
        <v>0</v>
      </c>
      <c r="E29" s="456"/>
      <c r="F29" s="623"/>
      <c r="G29" s="401">
        <f>'F8'!F34</f>
        <v>4</v>
      </c>
      <c r="H29" s="624">
        <v>3</v>
      </c>
      <c r="I29" s="625"/>
      <c r="J29" s="626">
        <v>3.5</v>
      </c>
      <c r="K29" s="627"/>
      <c r="M29" s="399">
        <v>2.6143790849673203</v>
      </c>
      <c r="N29" s="398">
        <f t="shared" si="0"/>
        <v>7.8431372549019613</v>
      </c>
      <c r="O29" s="398">
        <f t="shared" si="1"/>
        <v>9.1503267973856204</v>
      </c>
    </row>
    <row r="30" spans="1:15" s="30" customFormat="1" ht="93.75" customHeight="1" x14ac:dyDescent="0.25">
      <c r="A30" s="189">
        <v>23</v>
      </c>
      <c r="B30" s="190">
        <v>5.0999999999999996</v>
      </c>
      <c r="C30" s="213" t="s">
        <v>288</v>
      </c>
      <c r="D30" s="117">
        <v>0</v>
      </c>
      <c r="E30" s="456"/>
      <c r="F30" s="623"/>
      <c r="G30" s="401">
        <f>'F8'!F35</f>
        <v>4</v>
      </c>
      <c r="H30" s="624">
        <v>3</v>
      </c>
      <c r="I30" s="625"/>
      <c r="J30" s="626">
        <v>3.5</v>
      </c>
      <c r="K30" s="627"/>
      <c r="M30" s="399">
        <v>1.8518518518518516</v>
      </c>
      <c r="N30" s="398">
        <f t="shared" si="0"/>
        <v>5.5555555555555554</v>
      </c>
      <c r="O30" s="398">
        <f t="shared" si="1"/>
        <v>6.481481481481481</v>
      </c>
    </row>
    <row r="31" spans="1:15" s="30" customFormat="1" ht="74.25" customHeight="1" x14ac:dyDescent="0.25">
      <c r="A31" s="189">
        <v>24</v>
      </c>
      <c r="B31" s="190">
        <v>5.2</v>
      </c>
      <c r="C31" s="213" t="s">
        <v>289</v>
      </c>
      <c r="D31" s="117">
        <v>0</v>
      </c>
      <c r="E31" s="456"/>
      <c r="F31" s="623"/>
      <c r="G31" s="401">
        <f>'F8'!F36</f>
        <v>4</v>
      </c>
      <c r="H31" s="624">
        <v>3</v>
      </c>
      <c r="I31" s="625"/>
      <c r="J31" s="626">
        <v>3.5</v>
      </c>
      <c r="K31" s="627"/>
      <c r="M31" s="399">
        <v>1.8518518518518516</v>
      </c>
      <c r="N31" s="398">
        <f t="shared" si="0"/>
        <v>5.5555555555555554</v>
      </c>
      <c r="O31" s="398">
        <f t="shared" si="1"/>
        <v>6.481481481481481</v>
      </c>
    </row>
    <row r="32" spans="1:15" s="30" customFormat="1" ht="79.5" customHeight="1" x14ac:dyDescent="0.25">
      <c r="A32" s="189">
        <v>25</v>
      </c>
      <c r="B32" s="190">
        <v>5.3</v>
      </c>
      <c r="C32" s="213" t="s">
        <v>290</v>
      </c>
      <c r="D32" s="117">
        <v>0</v>
      </c>
      <c r="E32" s="456"/>
      <c r="F32" s="623"/>
      <c r="G32" s="401">
        <f>'F8'!F37</f>
        <v>4</v>
      </c>
      <c r="H32" s="636">
        <v>3</v>
      </c>
      <c r="I32" s="637"/>
      <c r="J32" s="638">
        <v>3.5</v>
      </c>
      <c r="K32" s="639"/>
      <c r="L32" s="510"/>
      <c r="M32" s="600">
        <v>1.8518518518518516</v>
      </c>
      <c r="N32" s="601">
        <f t="shared" si="0"/>
        <v>5.5555555555555554</v>
      </c>
      <c r="O32" s="601">
        <f t="shared" si="1"/>
        <v>6.481481481481481</v>
      </c>
    </row>
    <row r="33" spans="1:15" s="30" customFormat="1" ht="108.75" customHeight="1" x14ac:dyDescent="0.25">
      <c r="A33" s="189">
        <v>26</v>
      </c>
      <c r="B33" s="190" t="s">
        <v>187</v>
      </c>
      <c r="C33" s="213" t="s">
        <v>1170</v>
      </c>
      <c r="D33" s="117">
        <v>0</v>
      </c>
      <c r="E33" s="456"/>
      <c r="F33" s="623"/>
      <c r="G33" s="401">
        <f>'F8'!F38</f>
        <v>4</v>
      </c>
      <c r="H33" s="636">
        <v>3</v>
      </c>
      <c r="I33" s="637"/>
      <c r="J33" s="638">
        <v>3.5</v>
      </c>
      <c r="K33" s="639"/>
      <c r="L33" s="510"/>
      <c r="M33" s="600">
        <v>1.4814814814814814</v>
      </c>
      <c r="N33" s="601">
        <f t="shared" si="0"/>
        <v>4.4444444444444446</v>
      </c>
      <c r="O33" s="601">
        <f t="shared" si="1"/>
        <v>5.1851851851851851</v>
      </c>
    </row>
    <row r="34" spans="1:15" s="30" customFormat="1" ht="71.25" customHeight="1" x14ac:dyDescent="0.25">
      <c r="A34" s="189">
        <v>27</v>
      </c>
      <c r="B34" s="190" t="s">
        <v>189</v>
      </c>
      <c r="C34" s="213" t="s">
        <v>291</v>
      </c>
      <c r="D34" s="117">
        <v>0</v>
      </c>
      <c r="E34" s="456"/>
      <c r="F34" s="623"/>
      <c r="G34" s="401">
        <f>'F8'!F39</f>
        <v>4</v>
      </c>
      <c r="H34" s="636">
        <v>3</v>
      </c>
      <c r="I34" s="637"/>
      <c r="J34" s="638">
        <v>3.5</v>
      </c>
      <c r="K34" s="639"/>
      <c r="L34" s="510"/>
      <c r="M34" s="600">
        <v>1.4814814814814814</v>
      </c>
      <c r="N34" s="601">
        <f t="shared" si="0"/>
        <v>4.4444444444444446</v>
      </c>
      <c r="O34" s="601">
        <f t="shared" si="1"/>
        <v>5.1851851851851851</v>
      </c>
    </row>
    <row r="35" spans="1:15" s="30" customFormat="1" ht="71.25" customHeight="1" x14ac:dyDescent="0.25">
      <c r="A35" s="189">
        <v>28</v>
      </c>
      <c r="B35" s="190" t="s">
        <v>191</v>
      </c>
      <c r="C35" s="213" t="s">
        <v>292</v>
      </c>
      <c r="D35" s="117">
        <v>0</v>
      </c>
      <c r="E35" s="456"/>
      <c r="F35" s="623"/>
      <c r="G35" s="401">
        <f>'F8'!F40</f>
        <v>4</v>
      </c>
      <c r="H35" s="636">
        <v>3</v>
      </c>
      <c r="I35" s="637"/>
      <c r="J35" s="638">
        <v>3.5</v>
      </c>
      <c r="K35" s="639"/>
      <c r="L35" s="510"/>
      <c r="M35" s="600">
        <v>1.4814814814814814</v>
      </c>
      <c r="N35" s="601">
        <f t="shared" si="0"/>
        <v>4.4444444444444446</v>
      </c>
      <c r="O35" s="601">
        <f t="shared" si="1"/>
        <v>5.1851851851851851</v>
      </c>
    </row>
    <row r="36" spans="1:15" s="30" customFormat="1" ht="92.25" customHeight="1" x14ac:dyDescent="0.25">
      <c r="A36" s="189">
        <v>29</v>
      </c>
      <c r="B36" s="190" t="s">
        <v>20</v>
      </c>
      <c r="C36" s="213" t="s">
        <v>293</v>
      </c>
      <c r="D36" s="117">
        <v>0</v>
      </c>
      <c r="E36" s="456"/>
      <c r="F36" s="623"/>
      <c r="G36" s="401">
        <f>'F8'!F41</f>
        <v>4</v>
      </c>
      <c r="H36" s="636">
        <v>3</v>
      </c>
      <c r="I36" s="637"/>
      <c r="J36" s="638">
        <v>3.5</v>
      </c>
      <c r="K36" s="639"/>
      <c r="L36" s="510"/>
      <c r="M36" s="600">
        <v>2.9629629629629628</v>
      </c>
      <c r="N36" s="601">
        <f t="shared" si="0"/>
        <v>8.8888888888888893</v>
      </c>
      <c r="O36" s="601">
        <f t="shared" si="1"/>
        <v>10.37037037037037</v>
      </c>
    </row>
    <row r="37" spans="1:15" s="30" customFormat="1" ht="76.5" customHeight="1" x14ac:dyDescent="0.25">
      <c r="A37" s="189">
        <v>30</v>
      </c>
      <c r="B37" s="190" t="s">
        <v>21</v>
      </c>
      <c r="C37" s="213" t="s">
        <v>294</v>
      </c>
      <c r="D37" s="117">
        <v>0</v>
      </c>
      <c r="E37" s="456"/>
      <c r="F37" s="623"/>
      <c r="G37" s="401">
        <f>'F8'!F42</f>
        <v>4</v>
      </c>
      <c r="H37" s="636">
        <v>3</v>
      </c>
      <c r="I37" s="637"/>
      <c r="J37" s="638">
        <v>3.5</v>
      </c>
      <c r="K37" s="639"/>
      <c r="L37" s="510"/>
      <c r="M37" s="600">
        <v>1.4814814814814814</v>
      </c>
      <c r="N37" s="601">
        <f t="shared" si="0"/>
        <v>4.4444444444444446</v>
      </c>
      <c r="O37" s="601">
        <f t="shared" si="1"/>
        <v>5.1851851851851851</v>
      </c>
    </row>
    <row r="38" spans="1:15" s="30" customFormat="1" ht="78.75" customHeight="1" x14ac:dyDescent="0.25">
      <c r="A38" s="189">
        <v>31</v>
      </c>
      <c r="B38" s="190" t="s">
        <v>22</v>
      </c>
      <c r="C38" s="213" t="s">
        <v>295</v>
      </c>
      <c r="D38" s="117">
        <v>0</v>
      </c>
      <c r="E38" s="456"/>
      <c r="F38" s="623"/>
      <c r="G38" s="401">
        <f>'F8'!F43</f>
        <v>4</v>
      </c>
      <c r="H38" s="636">
        <v>3</v>
      </c>
      <c r="I38" s="637"/>
      <c r="J38" s="638">
        <v>3.5</v>
      </c>
      <c r="K38" s="639"/>
      <c r="L38" s="510"/>
      <c r="M38" s="600">
        <v>2.9629629629629628</v>
      </c>
      <c r="N38" s="601">
        <f t="shared" si="0"/>
        <v>8.8888888888888893</v>
      </c>
      <c r="O38" s="601">
        <f t="shared" si="1"/>
        <v>10.37037037037037</v>
      </c>
    </row>
    <row r="39" spans="1:15" s="30" customFormat="1" ht="76.5" customHeight="1" x14ac:dyDescent="0.25">
      <c r="A39" s="189">
        <v>32</v>
      </c>
      <c r="B39" s="190" t="s">
        <v>23</v>
      </c>
      <c r="C39" s="213" t="s">
        <v>296</v>
      </c>
      <c r="D39" s="117">
        <v>0</v>
      </c>
      <c r="E39" s="456"/>
      <c r="F39" s="623"/>
      <c r="G39" s="401">
        <f>'F8'!F44</f>
        <v>4</v>
      </c>
      <c r="H39" s="624">
        <v>3</v>
      </c>
      <c r="I39" s="625"/>
      <c r="J39" s="626">
        <v>3.5</v>
      </c>
      <c r="K39" s="627"/>
      <c r="M39" s="399">
        <v>1.4814814814814814</v>
      </c>
      <c r="N39" s="398">
        <f t="shared" si="0"/>
        <v>4.4444444444444446</v>
      </c>
      <c r="O39" s="398">
        <f t="shared" si="1"/>
        <v>5.1851851851851851</v>
      </c>
    </row>
    <row r="40" spans="1:15" s="30" customFormat="1" ht="99" customHeight="1" x14ac:dyDescent="0.25">
      <c r="A40" s="189">
        <v>33</v>
      </c>
      <c r="B40" s="190" t="s">
        <v>196</v>
      </c>
      <c r="C40" s="213" t="s">
        <v>297</v>
      </c>
      <c r="D40" s="117">
        <v>0</v>
      </c>
      <c r="E40" s="456"/>
      <c r="F40" s="623"/>
      <c r="G40" s="401">
        <f>'F8'!F45</f>
        <v>4</v>
      </c>
      <c r="H40" s="624">
        <v>3</v>
      </c>
      <c r="I40" s="625"/>
      <c r="J40" s="626">
        <v>3.5</v>
      </c>
      <c r="K40" s="627"/>
      <c r="M40" s="399">
        <v>2.2222222222222223</v>
      </c>
      <c r="N40" s="398">
        <f t="shared" si="0"/>
        <v>6.666666666666667</v>
      </c>
      <c r="O40" s="398">
        <f t="shared" si="1"/>
        <v>7.7777777777777786</v>
      </c>
    </row>
    <row r="41" spans="1:15" s="30" customFormat="1" ht="87" customHeight="1" x14ac:dyDescent="0.25">
      <c r="A41" s="189">
        <v>34</v>
      </c>
      <c r="B41" s="190" t="s">
        <v>198</v>
      </c>
      <c r="C41" s="213" t="s">
        <v>298</v>
      </c>
      <c r="D41" s="117">
        <v>0</v>
      </c>
      <c r="E41" s="456"/>
      <c r="F41" s="623"/>
      <c r="G41" s="401">
        <f>'F8'!F46</f>
        <v>4</v>
      </c>
      <c r="H41" s="624">
        <v>3</v>
      </c>
      <c r="I41" s="625"/>
      <c r="J41" s="626">
        <v>3.5</v>
      </c>
      <c r="K41" s="627"/>
      <c r="M41" s="399">
        <v>2.2222222222222223</v>
      </c>
      <c r="N41" s="398">
        <f t="shared" si="0"/>
        <v>6.666666666666667</v>
      </c>
      <c r="O41" s="398">
        <f t="shared" si="1"/>
        <v>7.7777777777777786</v>
      </c>
    </row>
    <row r="42" spans="1:15" s="30" customFormat="1" ht="156" customHeight="1" x14ac:dyDescent="0.25">
      <c r="A42" s="189">
        <v>35</v>
      </c>
      <c r="B42" s="190" t="s">
        <v>24</v>
      </c>
      <c r="C42" s="213" t="s">
        <v>1171</v>
      </c>
      <c r="D42" s="117">
        <v>0</v>
      </c>
      <c r="E42" s="456"/>
      <c r="F42" s="623"/>
      <c r="G42" s="401">
        <f>'F8'!F47</f>
        <v>4</v>
      </c>
      <c r="H42" s="624">
        <v>3</v>
      </c>
      <c r="I42" s="625"/>
      <c r="J42" s="626">
        <v>3.5</v>
      </c>
      <c r="K42" s="627"/>
      <c r="M42" s="399">
        <v>1.4814814814814814</v>
      </c>
      <c r="N42" s="398">
        <f t="shared" si="0"/>
        <v>4.4444444444444446</v>
      </c>
      <c r="O42" s="398">
        <f t="shared" si="1"/>
        <v>5.1851851851851851</v>
      </c>
    </row>
    <row r="43" spans="1:15" s="30" customFormat="1" ht="87" customHeight="1" x14ac:dyDescent="0.25">
      <c r="A43" s="189">
        <v>36</v>
      </c>
      <c r="B43" s="190" t="s">
        <v>25</v>
      </c>
      <c r="C43" s="213" t="s">
        <v>299</v>
      </c>
      <c r="D43" s="117">
        <v>0</v>
      </c>
      <c r="E43" s="456"/>
      <c r="F43" s="623"/>
      <c r="G43" s="401">
        <f>'F8'!F48</f>
        <v>4</v>
      </c>
      <c r="H43" s="624">
        <v>3</v>
      </c>
      <c r="I43" s="625"/>
      <c r="J43" s="626">
        <v>3.5</v>
      </c>
      <c r="K43" s="627"/>
      <c r="M43" s="399">
        <v>1.4814814814814814</v>
      </c>
      <c r="N43" s="398">
        <f t="shared" si="0"/>
        <v>4.4444444444444446</v>
      </c>
      <c r="O43" s="398">
        <f t="shared" si="1"/>
        <v>5.1851851851851851</v>
      </c>
    </row>
    <row r="44" spans="1:15" s="30" customFormat="1" ht="81" customHeight="1" x14ac:dyDescent="0.25">
      <c r="A44" s="189">
        <v>37</v>
      </c>
      <c r="B44" s="190" t="s">
        <v>81</v>
      </c>
      <c r="C44" s="213" t="s">
        <v>300</v>
      </c>
      <c r="D44" s="117">
        <v>0</v>
      </c>
      <c r="E44" s="456"/>
      <c r="F44" s="623"/>
      <c r="G44" s="401">
        <f>'F8'!F49</f>
        <v>4</v>
      </c>
      <c r="H44" s="624">
        <v>3</v>
      </c>
      <c r="I44" s="625"/>
      <c r="J44" s="626">
        <v>3.5</v>
      </c>
      <c r="K44" s="627"/>
      <c r="M44" s="399">
        <v>1.4814814814814814</v>
      </c>
      <c r="N44" s="398">
        <f t="shared" si="0"/>
        <v>4.4444444444444446</v>
      </c>
      <c r="O44" s="398">
        <f t="shared" si="1"/>
        <v>5.1851851851851851</v>
      </c>
    </row>
    <row r="45" spans="1:15" s="30" customFormat="1" ht="81.75" customHeight="1" x14ac:dyDescent="0.25">
      <c r="A45" s="189">
        <v>38</v>
      </c>
      <c r="B45" s="190" t="s">
        <v>202</v>
      </c>
      <c r="C45" s="213" t="s">
        <v>301</v>
      </c>
      <c r="D45" s="117">
        <v>0</v>
      </c>
      <c r="E45" s="456"/>
      <c r="F45" s="623"/>
      <c r="G45" s="401">
        <f>'F8'!F50</f>
        <v>4</v>
      </c>
      <c r="H45" s="624">
        <v>3</v>
      </c>
      <c r="I45" s="625"/>
      <c r="J45" s="626">
        <v>3.5</v>
      </c>
      <c r="K45" s="627"/>
      <c r="M45" s="399">
        <v>1.8518518518518514</v>
      </c>
      <c r="N45" s="398">
        <f t="shared" si="0"/>
        <v>5.5555555555555545</v>
      </c>
      <c r="O45" s="398">
        <f t="shared" si="1"/>
        <v>6.4814814814814801</v>
      </c>
    </row>
    <row r="46" spans="1:15" s="30" customFormat="1" ht="66.75" customHeight="1" x14ac:dyDescent="0.25">
      <c r="A46" s="189">
        <v>39</v>
      </c>
      <c r="B46" s="190" t="s">
        <v>203</v>
      </c>
      <c r="C46" s="213" t="s">
        <v>302</v>
      </c>
      <c r="D46" s="117">
        <v>0</v>
      </c>
      <c r="E46" s="456"/>
      <c r="F46" s="623"/>
      <c r="G46" s="401">
        <f>'F8'!F51</f>
        <v>4</v>
      </c>
      <c r="H46" s="624">
        <v>3</v>
      </c>
      <c r="I46" s="625"/>
      <c r="J46" s="626">
        <v>3.5</v>
      </c>
      <c r="K46" s="627"/>
      <c r="M46" s="399">
        <v>1.8518518518518514</v>
      </c>
      <c r="N46" s="398">
        <f t="shared" si="0"/>
        <v>5.5555555555555545</v>
      </c>
      <c r="O46" s="398">
        <f t="shared" si="1"/>
        <v>6.4814814814814801</v>
      </c>
    </row>
    <row r="47" spans="1:15" s="30" customFormat="1" ht="81" customHeight="1" x14ac:dyDescent="0.25">
      <c r="A47" s="189">
        <v>40</v>
      </c>
      <c r="B47" s="190" t="s">
        <v>27</v>
      </c>
      <c r="C47" s="213" t="s">
        <v>303</v>
      </c>
      <c r="D47" s="117">
        <v>0</v>
      </c>
      <c r="E47" s="456"/>
      <c r="F47" s="623"/>
      <c r="G47" s="401">
        <f>'F8'!F52</f>
        <v>4</v>
      </c>
      <c r="H47" s="624">
        <v>3</v>
      </c>
      <c r="I47" s="625"/>
      <c r="J47" s="626">
        <v>3.5</v>
      </c>
      <c r="K47" s="627"/>
      <c r="M47" s="399">
        <v>1.8518518518518514</v>
      </c>
      <c r="N47" s="398">
        <f t="shared" si="0"/>
        <v>5.5555555555555545</v>
      </c>
      <c r="O47" s="398">
        <f t="shared" si="1"/>
        <v>6.4814814814814801</v>
      </c>
    </row>
    <row r="48" spans="1:15" s="30" customFormat="1" ht="87" customHeight="1" x14ac:dyDescent="0.25">
      <c r="A48" s="189">
        <v>41</v>
      </c>
      <c r="B48" s="190" t="s">
        <v>205</v>
      </c>
      <c r="C48" s="213" t="s">
        <v>304</v>
      </c>
      <c r="D48" s="117">
        <v>0</v>
      </c>
      <c r="E48" s="456"/>
      <c r="F48" s="623"/>
      <c r="G48" s="401">
        <f>'F8'!F53</f>
        <v>4</v>
      </c>
      <c r="H48" s="624">
        <v>3</v>
      </c>
      <c r="I48" s="625"/>
      <c r="J48" s="626">
        <v>3.5</v>
      </c>
      <c r="K48" s="627"/>
      <c r="M48" s="399">
        <v>1.8518518518518514</v>
      </c>
      <c r="N48" s="398">
        <f t="shared" si="0"/>
        <v>5.5555555555555545</v>
      </c>
      <c r="O48" s="398">
        <f t="shared" si="1"/>
        <v>6.4814814814814801</v>
      </c>
    </row>
    <row r="49" spans="1:15" s="30" customFormat="1" ht="75.75" customHeight="1" x14ac:dyDescent="0.25">
      <c r="A49" s="189">
        <v>42</v>
      </c>
      <c r="B49" s="190" t="s">
        <v>206</v>
      </c>
      <c r="C49" s="213" t="s">
        <v>305</v>
      </c>
      <c r="D49" s="117">
        <v>0</v>
      </c>
      <c r="E49" s="456"/>
      <c r="F49" s="623"/>
      <c r="G49" s="401">
        <f>'F8'!F54</f>
        <v>4</v>
      </c>
      <c r="H49" s="624">
        <v>3</v>
      </c>
      <c r="I49" s="625"/>
      <c r="J49" s="626">
        <v>3.5</v>
      </c>
      <c r="K49" s="627"/>
      <c r="M49" s="399">
        <v>1.8518518518518514</v>
      </c>
      <c r="N49" s="398">
        <f t="shared" si="0"/>
        <v>5.5555555555555545</v>
      </c>
      <c r="O49" s="398">
        <f t="shared" si="1"/>
        <v>6.4814814814814801</v>
      </c>
    </row>
    <row r="50" spans="1:15" s="30" customFormat="1" ht="66.75" customHeight="1" x14ac:dyDescent="0.25">
      <c r="A50" s="189">
        <v>43</v>
      </c>
      <c r="B50" s="190" t="s">
        <v>29</v>
      </c>
      <c r="C50" s="213" t="s">
        <v>306</v>
      </c>
      <c r="D50" s="117">
        <v>0</v>
      </c>
      <c r="E50" s="456"/>
      <c r="F50" s="623"/>
      <c r="G50" s="401">
        <f>'F8'!F55</f>
        <v>4</v>
      </c>
      <c r="H50" s="624">
        <v>3</v>
      </c>
      <c r="I50" s="625"/>
      <c r="J50" s="626">
        <v>3.5</v>
      </c>
      <c r="K50" s="627"/>
      <c r="M50" s="399">
        <v>1.8518518518518514</v>
      </c>
      <c r="N50" s="398">
        <f t="shared" si="0"/>
        <v>5.5555555555555545</v>
      </c>
      <c r="O50" s="398">
        <f t="shared" si="1"/>
        <v>6.4814814814814801</v>
      </c>
    </row>
    <row r="51" spans="1:15" s="30" customFormat="1" ht="93.75" customHeight="1" x14ac:dyDescent="0.25">
      <c r="A51" s="189">
        <v>44</v>
      </c>
      <c r="B51" s="190" t="s">
        <v>30</v>
      </c>
      <c r="C51" s="213" t="s">
        <v>909</v>
      </c>
      <c r="D51" s="117">
        <v>0</v>
      </c>
      <c r="E51" s="456"/>
      <c r="F51" s="623"/>
      <c r="G51" s="401">
        <f>'F8'!F56</f>
        <v>4</v>
      </c>
      <c r="H51" s="624">
        <v>3</v>
      </c>
      <c r="I51" s="625"/>
      <c r="J51" s="626">
        <v>3.5</v>
      </c>
      <c r="K51" s="627"/>
      <c r="M51" s="399">
        <v>2.7777777777777772</v>
      </c>
      <c r="N51" s="398">
        <f t="shared" si="0"/>
        <v>8.3333333333333321</v>
      </c>
      <c r="O51" s="398">
        <f t="shared" si="1"/>
        <v>9.7222222222222197</v>
      </c>
    </row>
    <row r="52" spans="1:15" s="30" customFormat="1" ht="98.25" customHeight="1" thickBot="1" x14ac:dyDescent="0.3">
      <c r="A52" s="191">
        <v>45</v>
      </c>
      <c r="B52" s="192" t="s">
        <v>31</v>
      </c>
      <c r="C52" s="159" t="s">
        <v>910</v>
      </c>
      <c r="D52" s="120">
        <v>0</v>
      </c>
      <c r="E52" s="194"/>
      <c r="F52" s="640"/>
      <c r="G52" s="402">
        <f>'F8'!F57</f>
        <v>4</v>
      </c>
      <c r="H52" s="624">
        <v>3</v>
      </c>
      <c r="I52" s="625"/>
      <c r="J52" s="626">
        <v>3.5</v>
      </c>
      <c r="K52" s="627"/>
      <c r="M52" s="400">
        <v>2.7777777777777772</v>
      </c>
      <c r="N52" s="398">
        <f t="shared" si="0"/>
        <v>8.3333333333333321</v>
      </c>
      <c r="O52" s="398">
        <f t="shared" si="1"/>
        <v>9.7222222222222197</v>
      </c>
    </row>
    <row r="53" spans="1:15" s="39" customFormat="1" ht="15.75" x14ac:dyDescent="0.25">
      <c r="A53" s="746" t="s">
        <v>89</v>
      </c>
      <c r="B53" s="747"/>
      <c r="C53" s="747"/>
      <c r="D53" s="42"/>
      <c r="E53" s="42"/>
      <c r="F53" s="42"/>
      <c r="M53" s="173"/>
      <c r="N53" s="50"/>
    </row>
    <row r="54" spans="1:15" s="39" customFormat="1" ht="15.75" x14ac:dyDescent="0.25">
      <c r="A54" s="468"/>
      <c r="B54" s="44"/>
      <c r="C54" s="42"/>
      <c r="D54" s="42"/>
      <c r="E54" s="42"/>
      <c r="F54" s="42"/>
      <c r="M54" s="395">
        <f>SUM(M8:M52)</f>
        <v>99.999999999999972</v>
      </c>
      <c r="N54" s="396">
        <f t="shared" ref="N54:O54" si="2">SUM(N8:N52)</f>
        <v>299.99999999999994</v>
      </c>
      <c r="O54" s="396">
        <f t="shared" si="2"/>
        <v>349.99999999999977</v>
      </c>
    </row>
    <row r="55" spans="1:15" s="39" customFormat="1" ht="15.75" x14ac:dyDescent="0.25">
      <c r="A55" s="42"/>
      <c r="B55" s="44"/>
      <c r="C55" s="42"/>
      <c r="D55" s="478" t="s">
        <v>310</v>
      </c>
      <c r="E55" s="94"/>
      <c r="F55" s="94"/>
      <c r="G55" s="94"/>
      <c r="H55" s="94"/>
      <c r="I55" s="94"/>
      <c r="J55" s="94"/>
      <c r="K55" s="94"/>
      <c r="L55" s="94"/>
    </row>
    <row r="56" spans="1:15" s="39" customFormat="1" x14ac:dyDescent="0.25">
      <c r="A56" s="42"/>
      <c r="B56" s="44"/>
      <c r="C56" s="42"/>
      <c r="D56" s="42"/>
      <c r="E56" s="42"/>
      <c r="F56" s="42"/>
    </row>
    <row r="57" spans="1:15" s="39" customFormat="1" x14ac:dyDescent="0.25">
      <c r="A57" s="470"/>
      <c r="B57" s="46"/>
      <c r="C57" s="470"/>
      <c r="D57" s="470"/>
      <c r="E57" s="42"/>
      <c r="F57" s="42"/>
    </row>
    <row r="58" spans="1:15" s="39" customFormat="1" ht="15" customHeight="1" x14ac:dyDescent="0.25">
      <c r="A58" s="167"/>
      <c r="B58" s="56"/>
      <c r="C58" s="56"/>
      <c r="D58" s="173" t="s">
        <v>1005</v>
      </c>
      <c r="E58" s="173" t="s">
        <v>1102</v>
      </c>
      <c r="F58" s="173" t="s">
        <v>1103</v>
      </c>
    </row>
    <row r="59" spans="1:15" s="39" customFormat="1" ht="15" customHeight="1" x14ac:dyDescent="0.25">
      <c r="A59" s="56"/>
      <c r="B59" s="56"/>
      <c r="C59" s="56"/>
      <c r="D59" s="471"/>
      <c r="E59" s="42"/>
      <c r="F59" s="42"/>
      <c r="L59" s="473"/>
      <c r="M59" s="473"/>
      <c r="N59" s="473"/>
    </row>
    <row r="60" spans="1:15" s="39" customFormat="1" x14ac:dyDescent="0.25">
      <c r="A60" s="470"/>
      <c r="B60" s="46"/>
      <c r="C60" s="42"/>
      <c r="D60" s="165"/>
      <c r="E60" s="42"/>
      <c r="F60" s="42"/>
      <c r="G60" s="473"/>
      <c r="H60" s="473"/>
      <c r="I60" s="473"/>
      <c r="J60" s="473"/>
      <c r="K60" s="473"/>
      <c r="L60" s="473"/>
      <c r="M60" s="473"/>
      <c r="N60" s="473"/>
    </row>
    <row r="61" spans="1:15" s="39" customFormat="1" x14ac:dyDescent="0.25">
      <c r="A61" s="470"/>
      <c r="B61" s="46"/>
      <c r="C61" s="42"/>
      <c r="D61" s="165"/>
      <c r="E61" s="42"/>
      <c r="F61" s="42"/>
      <c r="G61" s="470"/>
      <c r="H61" s="470"/>
      <c r="I61" s="470"/>
      <c r="J61" s="470"/>
      <c r="K61" s="470"/>
      <c r="L61" s="470"/>
    </row>
    <row r="62" spans="1:15" s="39" customFormat="1" x14ac:dyDescent="0.25">
      <c r="A62" s="470"/>
      <c r="B62" s="478"/>
      <c r="C62" s="42"/>
      <c r="D62" s="165">
        <v>1</v>
      </c>
      <c r="E62" s="42" t="s">
        <v>1113</v>
      </c>
      <c r="F62" s="42"/>
      <c r="L62" s="473"/>
      <c r="M62" s="473"/>
      <c r="N62" s="473"/>
    </row>
    <row r="63" spans="1:15" s="39" customFormat="1" x14ac:dyDescent="0.25">
      <c r="A63" s="745"/>
      <c r="B63" s="748"/>
      <c r="C63" s="42"/>
      <c r="D63" s="165"/>
      <c r="E63" s="42"/>
      <c r="F63" s="42"/>
      <c r="G63" s="473"/>
      <c r="H63" s="473"/>
      <c r="I63" s="473"/>
      <c r="J63" s="473"/>
      <c r="K63" s="473"/>
      <c r="L63" s="473"/>
      <c r="M63" s="473"/>
      <c r="N63" s="473"/>
    </row>
    <row r="64" spans="1:15" s="39" customFormat="1" x14ac:dyDescent="0.25">
      <c r="A64" s="42"/>
      <c r="B64" s="44"/>
      <c r="C64" s="42"/>
      <c r="D64" s="165"/>
      <c r="E64" s="42"/>
      <c r="F64" s="42"/>
    </row>
    <row r="65" spans="4:6" s="39" customFormat="1" x14ac:dyDescent="0.25">
      <c r="D65" s="165"/>
    </row>
    <row r="66" spans="4:6" s="39" customFormat="1" x14ac:dyDescent="0.25">
      <c r="D66" s="165">
        <v>2</v>
      </c>
      <c r="F66" s="39" t="s">
        <v>1114</v>
      </c>
    </row>
    <row r="67" spans="4:6" s="39" customFormat="1" x14ac:dyDescent="0.25">
      <c r="D67" s="165"/>
    </row>
    <row r="68" spans="4:6" s="39" customFormat="1" x14ac:dyDescent="0.25">
      <c r="D68" s="165"/>
    </row>
    <row r="69" spans="4:6" s="39" customFormat="1" x14ac:dyDescent="0.25">
      <c r="D69" s="165"/>
    </row>
    <row r="70" spans="4:6" s="39" customFormat="1" x14ac:dyDescent="0.25">
      <c r="D70" s="165"/>
    </row>
    <row r="71" spans="4:6" s="39" customFormat="1" x14ac:dyDescent="0.25">
      <c r="D71" s="165"/>
    </row>
    <row r="72" spans="4:6" s="39" customFormat="1" x14ac:dyDescent="0.25">
      <c r="D72" s="165"/>
    </row>
    <row r="73" spans="4:6" s="39" customFormat="1" x14ac:dyDescent="0.25"/>
    <row r="74" spans="4:6" s="39" customFormat="1" x14ac:dyDescent="0.25"/>
    <row r="75" spans="4:6" s="39" customFormat="1" x14ac:dyDescent="0.25"/>
    <row r="76" spans="4:6" s="39" customFormat="1" x14ac:dyDescent="0.25"/>
    <row r="77" spans="4:6" s="39" customFormat="1" x14ac:dyDescent="0.25"/>
    <row r="78" spans="4:6" s="39" customFormat="1" x14ac:dyDescent="0.25"/>
  </sheetData>
  <sheetProtection formatCells="0" formatColumns="0" formatRows="0"/>
  <mergeCells count="6">
    <mergeCell ref="A63:B63"/>
    <mergeCell ref="A1:G1"/>
    <mergeCell ref="A3:G3"/>
    <mergeCell ref="A5:G5"/>
    <mergeCell ref="A6:G6"/>
    <mergeCell ref="A53:C53"/>
  </mergeCells>
  <pageMargins left="0.70866141732283505" right="0.70866141732283505" top="0.74803149606299202" bottom="0.74803149606299202" header="0.31496062992126" footer="0.31496062992126"/>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1"/>
  <sheetViews>
    <sheetView tabSelected="1" topLeftCell="A103" zoomScale="85" zoomScaleNormal="85" workbookViewId="0">
      <selection activeCell="D108" sqref="D108:D110"/>
    </sheetView>
  </sheetViews>
  <sheetFormatPr defaultRowHeight="15" x14ac:dyDescent="0.25"/>
  <cols>
    <col min="1" max="1" width="9" style="32" customWidth="1"/>
    <col min="2" max="2" width="8.5703125" style="32" customWidth="1"/>
    <col min="3" max="3" width="6.42578125" style="30" customWidth="1"/>
    <col min="4" max="4" width="53.42578125" style="30" customWidth="1"/>
    <col min="5" max="5" width="9.140625" style="30" customWidth="1"/>
    <col min="6" max="6" width="5.85546875" style="30" customWidth="1"/>
    <col min="7" max="7" width="47" style="32" customWidth="1"/>
    <col min="8" max="8" width="11.5703125" style="32" customWidth="1"/>
    <col min="9" max="9" width="6.140625" style="30" customWidth="1"/>
    <col min="10" max="10" width="40.85546875" style="30" customWidth="1"/>
    <col min="11" max="11" width="9.140625" style="30"/>
    <col min="12" max="12" width="12" style="30" customWidth="1"/>
    <col min="13" max="15" width="9.140625" style="31"/>
    <col min="16" max="16" width="10" style="31" bestFit="1" customWidth="1"/>
    <col min="17" max="17" width="9.140625" style="31"/>
    <col min="18" max="16384" width="9.140625" style="30"/>
  </cols>
  <sheetData>
    <row r="1" spans="1:17" ht="26.25" x14ac:dyDescent="0.4">
      <c r="A1" s="676" t="s">
        <v>131</v>
      </c>
      <c r="B1" s="676"/>
      <c r="C1" s="676"/>
      <c r="D1" s="676"/>
      <c r="E1" s="676"/>
      <c r="H1" s="33"/>
    </row>
    <row r="2" spans="1:17" ht="27" thickBot="1" x14ac:dyDescent="0.45">
      <c r="A2" s="676" t="s">
        <v>130</v>
      </c>
      <c r="B2" s="676"/>
      <c r="C2" s="676"/>
      <c r="D2" s="676"/>
      <c r="E2" s="676"/>
      <c r="N2" s="201"/>
    </row>
    <row r="3" spans="1:17" ht="36.75" thickBot="1" x14ac:dyDescent="0.35">
      <c r="A3" s="283" t="s">
        <v>124</v>
      </c>
      <c r="B3" s="284" t="s">
        <v>120</v>
      </c>
      <c r="C3" s="677" t="s">
        <v>132</v>
      </c>
      <c r="D3" s="677"/>
      <c r="E3" s="285" t="s">
        <v>133</v>
      </c>
      <c r="F3" s="262"/>
      <c r="G3" s="286" t="s">
        <v>736</v>
      </c>
      <c r="H3" s="34"/>
      <c r="K3" s="31"/>
      <c r="N3" s="201"/>
    </row>
    <row r="4" spans="1:17" s="15" customFormat="1" ht="60" customHeight="1" thickBot="1" x14ac:dyDescent="0.35">
      <c r="A4" s="255">
        <v>1</v>
      </c>
      <c r="B4" s="255" t="s">
        <v>64</v>
      </c>
      <c r="C4" s="659" t="s">
        <v>928</v>
      </c>
      <c r="D4" s="660"/>
      <c r="E4" s="359"/>
      <c r="F4" s="30"/>
      <c r="G4" s="223" t="s">
        <v>934</v>
      </c>
      <c r="H4" s="34"/>
      <c r="I4" s="30"/>
      <c r="J4" s="30"/>
      <c r="K4" s="31"/>
      <c r="L4" s="30"/>
      <c r="M4" s="8"/>
      <c r="N4" s="229"/>
      <c r="O4" s="8"/>
      <c r="P4" s="8"/>
      <c r="Q4" s="8"/>
    </row>
    <row r="5" spans="1:17" s="15" customFormat="1" ht="16.5" customHeight="1" x14ac:dyDescent="0.3">
      <c r="A5" s="357"/>
      <c r="B5" s="358"/>
      <c r="C5" s="221">
        <v>1</v>
      </c>
      <c r="D5" s="220" t="s">
        <v>929</v>
      </c>
      <c r="E5" s="360">
        <v>4</v>
      </c>
      <c r="F5" s="30"/>
      <c r="G5" s="232"/>
      <c r="H5" s="34"/>
      <c r="I5" s="30"/>
      <c r="J5" s="30"/>
      <c r="K5" s="31"/>
      <c r="L5" s="30"/>
      <c r="M5" s="8"/>
      <c r="N5" s="229"/>
      <c r="O5" s="8"/>
      <c r="P5" s="8"/>
      <c r="Q5" s="8"/>
    </row>
    <row r="6" spans="1:17" s="15" customFormat="1" ht="16.5" customHeight="1" x14ac:dyDescent="0.3">
      <c r="A6" s="357"/>
      <c r="B6" s="358"/>
      <c r="C6" s="221">
        <v>2</v>
      </c>
      <c r="D6" s="220" t="s">
        <v>930</v>
      </c>
      <c r="E6" s="360">
        <v>4</v>
      </c>
      <c r="F6" s="30"/>
      <c r="G6" s="232"/>
      <c r="H6" s="34"/>
      <c r="I6" s="30"/>
      <c r="J6" s="30"/>
      <c r="K6" s="31"/>
      <c r="L6" s="30"/>
      <c r="M6" s="8"/>
      <c r="N6" s="229"/>
      <c r="O6" s="8"/>
      <c r="P6" s="8"/>
      <c r="Q6" s="8"/>
    </row>
    <row r="7" spans="1:17" s="15" customFormat="1" ht="16.5" customHeight="1" x14ac:dyDescent="0.3">
      <c r="A7" s="357"/>
      <c r="B7" s="358"/>
      <c r="C7" s="221">
        <v>3</v>
      </c>
      <c r="D7" s="220" t="s">
        <v>931</v>
      </c>
      <c r="E7" s="360">
        <v>4</v>
      </c>
      <c r="F7" s="30"/>
      <c r="G7" s="232"/>
      <c r="H7" s="34"/>
      <c r="I7" s="30"/>
      <c r="J7" s="30"/>
      <c r="K7" s="31"/>
      <c r="L7" s="30"/>
      <c r="M7" s="8"/>
      <c r="N7" s="229"/>
      <c r="O7" s="8"/>
      <c r="P7" s="8"/>
      <c r="Q7" s="8"/>
    </row>
    <row r="8" spans="1:17" s="15" customFormat="1" ht="16.5" customHeight="1" x14ac:dyDescent="0.3">
      <c r="A8" s="357"/>
      <c r="B8" s="358"/>
      <c r="C8" s="221">
        <v>4</v>
      </c>
      <c r="D8" s="220" t="s">
        <v>932</v>
      </c>
      <c r="E8" s="360">
        <v>4</v>
      </c>
      <c r="F8" s="30"/>
      <c r="G8" s="232"/>
      <c r="H8" s="34"/>
      <c r="I8" s="30"/>
      <c r="J8" s="30"/>
      <c r="K8" s="31"/>
      <c r="L8" s="30"/>
      <c r="M8" s="8"/>
      <c r="N8" s="229"/>
      <c r="O8" s="8"/>
      <c r="P8" s="8"/>
      <c r="Q8" s="8"/>
    </row>
    <row r="9" spans="1:17" s="15" customFormat="1" ht="16.5" customHeight="1" x14ac:dyDescent="0.3">
      <c r="A9" s="357"/>
      <c r="B9" s="358"/>
      <c r="C9" s="688" t="s">
        <v>933</v>
      </c>
      <c r="D9" s="689"/>
      <c r="E9" s="362">
        <f>SUM(E5:E8)/4</f>
        <v>4</v>
      </c>
      <c r="F9" s="30"/>
      <c r="G9" s="232"/>
      <c r="H9" s="34"/>
      <c r="I9" s="30"/>
      <c r="J9" s="30"/>
      <c r="K9" s="31"/>
      <c r="L9" s="30"/>
      <c r="M9" s="8"/>
      <c r="N9" s="229"/>
      <c r="O9" s="8"/>
      <c r="P9" s="8"/>
      <c r="Q9" s="8"/>
    </row>
    <row r="10" spans="1:17" s="15" customFormat="1" ht="19.5" thickBot="1" x14ac:dyDescent="0.35">
      <c r="A10" s="363"/>
      <c r="B10" s="363"/>
      <c r="C10" s="645" t="s">
        <v>103</v>
      </c>
      <c r="D10" s="646"/>
      <c r="E10" s="364">
        <f>E9</f>
        <v>4</v>
      </c>
      <c r="F10" s="30"/>
      <c r="G10" s="93"/>
      <c r="H10" s="34"/>
      <c r="I10" s="30"/>
      <c r="J10" s="30"/>
      <c r="K10" s="31"/>
      <c r="L10" s="30"/>
      <c r="M10" s="8"/>
      <c r="N10" s="229"/>
      <c r="O10" s="8"/>
      <c r="P10" s="8"/>
      <c r="Q10" s="8"/>
    </row>
    <row r="11" spans="1:17" ht="19.5" thickBot="1" x14ac:dyDescent="0.35">
      <c r="A11" s="256"/>
      <c r="B11" s="256"/>
      <c r="C11" s="68"/>
      <c r="D11" s="68"/>
      <c r="E11" s="258"/>
      <c r="G11" s="93"/>
      <c r="H11" s="34"/>
      <c r="K11" s="31"/>
      <c r="N11" s="201"/>
    </row>
    <row r="12" spans="1:17" ht="76.5" customHeight="1" thickBot="1" x14ac:dyDescent="0.35">
      <c r="A12" s="255">
        <v>2</v>
      </c>
      <c r="B12" s="255" t="s">
        <v>65</v>
      </c>
      <c r="C12" s="678" t="s">
        <v>312</v>
      </c>
      <c r="D12" s="679"/>
      <c r="E12" s="261">
        <v>4</v>
      </c>
      <c r="G12" s="223" t="s">
        <v>249</v>
      </c>
      <c r="H12" s="34"/>
      <c r="K12" s="31"/>
      <c r="N12" s="201"/>
    </row>
    <row r="13" spans="1:17" ht="28.5" customHeight="1" x14ac:dyDescent="0.3">
      <c r="A13" s="255"/>
      <c r="B13" s="255"/>
      <c r="C13" s="215">
        <v>1</v>
      </c>
      <c r="D13" s="156" t="s">
        <v>1014</v>
      </c>
      <c r="E13" s="292"/>
      <c r="G13" s="93"/>
      <c r="H13" s="34"/>
      <c r="K13" s="31"/>
      <c r="N13" s="201"/>
    </row>
    <row r="14" spans="1:17" ht="28.5" customHeight="1" x14ac:dyDescent="0.3">
      <c r="A14" s="255"/>
      <c r="B14" s="255"/>
      <c r="C14" s="215">
        <v>2</v>
      </c>
      <c r="D14" s="156" t="s">
        <v>1015</v>
      </c>
      <c r="E14" s="292"/>
      <c r="G14" s="93"/>
      <c r="H14" s="34"/>
      <c r="K14" s="31"/>
      <c r="N14" s="201"/>
    </row>
    <row r="15" spans="1:17" ht="28.5" customHeight="1" x14ac:dyDescent="0.3">
      <c r="A15" s="255"/>
      <c r="B15" s="255"/>
      <c r="C15" s="215">
        <v>3</v>
      </c>
      <c r="D15" s="156" t="s">
        <v>1016</v>
      </c>
      <c r="E15" s="292"/>
      <c r="G15" s="93"/>
      <c r="H15" s="34"/>
      <c r="K15" s="31"/>
      <c r="N15" s="201"/>
    </row>
    <row r="16" spans="1:17" ht="28.5" customHeight="1" x14ac:dyDescent="0.3">
      <c r="A16" s="255"/>
      <c r="B16" s="255"/>
      <c r="C16" s="215">
        <v>4</v>
      </c>
      <c r="D16" s="156" t="s">
        <v>313</v>
      </c>
      <c r="E16" s="292"/>
      <c r="G16" s="93"/>
      <c r="H16" s="34"/>
      <c r="K16" s="31"/>
      <c r="N16" s="201"/>
    </row>
    <row r="17" spans="1:14" ht="19.5" thickBot="1" x14ac:dyDescent="0.35">
      <c r="A17" s="255"/>
      <c r="B17" s="255"/>
      <c r="C17" s="653" t="s">
        <v>103</v>
      </c>
      <c r="D17" s="654"/>
      <c r="E17" s="263">
        <f>E12</f>
        <v>4</v>
      </c>
      <c r="G17" s="93"/>
      <c r="H17" s="34"/>
      <c r="K17" s="31"/>
      <c r="N17" s="201"/>
    </row>
    <row r="18" spans="1:14" ht="19.5" thickBot="1" x14ac:dyDescent="0.35">
      <c r="A18" s="255"/>
      <c r="B18" s="255"/>
      <c r="C18" s="70"/>
      <c r="D18" s="70"/>
      <c r="E18" s="258"/>
      <c r="G18" s="93"/>
      <c r="H18" s="34"/>
      <c r="K18" s="31"/>
      <c r="N18" s="201"/>
    </row>
    <row r="19" spans="1:14" ht="87.75" customHeight="1" thickBot="1" x14ac:dyDescent="0.35">
      <c r="A19" s="255">
        <v>3</v>
      </c>
      <c r="B19" s="894">
        <v>1.2</v>
      </c>
      <c r="C19" s="682" t="s">
        <v>146</v>
      </c>
      <c r="D19" s="683"/>
      <c r="E19" s="261">
        <v>4</v>
      </c>
      <c r="G19" s="223" t="s">
        <v>250</v>
      </c>
      <c r="H19" s="34"/>
      <c r="K19" s="31"/>
      <c r="N19" s="201"/>
    </row>
    <row r="20" spans="1:14" ht="30" customHeight="1" x14ac:dyDescent="0.3">
      <c r="A20" s="255"/>
      <c r="B20" s="255"/>
      <c r="C20" s="215">
        <v>1</v>
      </c>
      <c r="D20" s="117" t="s">
        <v>1017</v>
      </c>
      <c r="E20" s="292"/>
      <c r="G20" s="93"/>
      <c r="H20" s="34"/>
      <c r="K20" s="31"/>
      <c r="N20" s="201"/>
    </row>
    <row r="21" spans="1:14" ht="30" customHeight="1" x14ac:dyDescent="0.3">
      <c r="A21" s="255"/>
      <c r="B21" s="255"/>
      <c r="C21" s="215">
        <v>2</v>
      </c>
      <c r="D21" s="117" t="s">
        <v>935</v>
      </c>
      <c r="E21" s="292"/>
      <c r="G21" s="93"/>
      <c r="H21" s="34"/>
      <c r="K21" s="31"/>
      <c r="N21" s="201"/>
    </row>
    <row r="22" spans="1:14" ht="30" customHeight="1" x14ac:dyDescent="0.3">
      <c r="A22" s="255"/>
      <c r="B22" s="255"/>
      <c r="C22" s="215">
        <v>3</v>
      </c>
      <c r="D22" s="117" t="s">
        <v>936</v>
      </c>
      <c r="E22" s="292"/>
      <c r="G22" s="93"/>
      <c r="H22" s="34"/>
      <c r="K22" s="31"/>
      <c r="N22" s="201"/>
    </row>
    <row r="23" spans="1:14" ht="30" customHeight="1" x14ac:dyDescent="0.3">
      <c r="A23" s="255"/>
      <c r="B23" s="255"/>
      <c r="C23" s="215">
        <v>4</v>
      </c>
      <c r="D23" s="117" t="s">
        <v>316</v>
      </c>
      <c r="E23" s="292"/>
      <c r="G23" s="93"/>
      <c r="H23" s="34"/>
      <c r="K23" s="31"/>
      <c r="N23" s="201"/>
    </row>
    <row r="24" spans="1:14" ht="19.5" thickBot="1" x14ac:dyDescent="0.35">
      <c r="A24" s="255"/>
      <c r="B24" s="255"/>
      <c r="C24" s="653" t="s">
        <v>103</v>
      </c>
      <c r="D24" s="654"/>
      <c r="E24" s="263">
        <f>E19</f>
        <v>4</v>
      </c>
      <c r="G24" s="93"/>
      <c r="H24" s="34"/>
      <c r="K24" s="31"/>
      <c r="N24" s="201"/>
    </row>
    <row r="25" spans="1:14" ht="19.5" thickBot="1" x14ac:dyDescent="0.35">
      <c r="A25" s="255"/>
      <c r="B25" s="255"/>
      <c r="C25" s="70"/>
      <c r="D25" s="70"/>
      <c r="E25" s="258"/>
      <c r="G25" s="93"/>
      <c r="H25" s="34"/>
      <c r="K25" s="31"/>
      <c r="N25" s="201"/>
    </row>
    <row r="26" spans="1:14" ht="75.75" customHeight="1" thickBot="1" x14ac:dyDescent="0.35">
      <c r="A26" s="255">
        <v>4</v>
      </c>
      <c r="B26" s="894">
        <v>2.1</v>
      </c>
      <c r="C26" s="682" t="s">
        <v>8</v>
      </c>
      <c r="D26" s="683"/>
      <c r="E26" s="261">
        <v>4</v>
      </c>
      <c r="G26" s="223" t="s">
        <v>251</v>
      </c>
      <c r="H26" s="34"/>
      <c r="I26" s="208"/>
      <c r="K26" s="31"/>
      <c r="N26" s="201"/>
    </row>
    <row r="27" spans="1:14" ht="42.75" customHeight="1" x14ac:dyDescent="0.3">
      <c r="A27" s="255"/>
      <c r="B27" s="255"/>
      <c r="C27" s="217">
        <v>0</v>
      </c>
      <c r="D27" s="216" t="s">
        <v>317</v>
      </c>
      <c r="E27" s="292"/>
      <c r="G27" s="93"/>
      <c r="H27" s="34"/>
      <c r="K27" s="31"/>
      <c r="N27" s="201"/>
    </row>
    <row r="28" spans="1:14" ht="55.5" customHeight="1" x14ac:dyDescent="0.3">
      <c r="A28" s="255"/>
      <c r="B28" s="255"/>
      <c r="C28" s="217">
        <v>1</v>
      </c>
      <c r="D28" s="356" t="s">
        <v>1018</v>
      </c>
      <c r="E28" s="292"/>
      <c r="G28" s="93"/>
      <c r="H28" s="34"/>
      <c r="K28" s="31"/>
      <c r="N28" s="201"/>
    </row>
    <row r="29" spans="1:14" ht="55.5" customHeight="1" x14ac:dyDescent="0.3">
      <c r="A29" s="255"/>
      <c r="B29" s="255"/>
      <c r="C29" s="217">
        <v>2</v>
      </c>
      <c r="D29" s="356" t="s">
        <v>1019</v>
      </c>
      <c r="E29" s="292"/>
      <c r="G29" s="93"/>
      <c r="H29" s="34"/>
      <c r="K29" s="31"/>
      <c r="N29" s="201"/>
    </row>
    <row r="30" spans="1:14" ht="55.5" customHeight="1" x14ac:dyDescent="0.3">
      <c r="A30" s="255"/>
      <c r="B30" s="255"/>
      <c r="C30" s="217">
        <v>3</v>
      </c>
      <c r="D30" s="356" t="s">
        <v>1020</v>
      </c>
      <c r="E30" s="292"/>
      <c r="G30" s="93"/>
      <c r="H30" s="34"/>
      <c r="K30" s="31"/>
      <c r="N30" s="201"/>
    </row>
    <row r="31" spans="1:14" ht="42.75" customHeight="1" x14ac:dyDescent="0.3">
      <c r="A31" s="255"/>
      <c r="B31" s="255"/>
      <c r="C31" s="217">
        <v>4</v>
      </c>
      <c r="D31" s="356" t="s">
        <v>1021</v>
      </c>
      <c r="E31" s="292"/>
      <c r="G31" s="93"/>
      <c r="H31" s="34"/>
      <c r="K31" s="31"/>
      <c r="N31" s="201"/>
    </row>
    <row r="32" spans="1:14" ht="19.5" thickBot="1" x14ac:dyDescent="0.35">
      <c r="A32" s="255"/>
      <c r="B32" s="255"/>
      <c r="C32" s="653" t="s">
        <v>103</v>
      </c>
      <c r="D32" s="654"/>
      <c r="E32" s="263">
        <f>E26</f>
        <v>4</v>
      </c>
      <c r="G32" s="93"/>
      <c r="H32" s="34"/>
      <c r="K32" s="31"/>
      <c r="N32" s="201"/>
    </row>
    <row r="33" spans="1:14" ht="19.5" thickBot="1" x14ac:dyDescent="0.35">
      <c r="A33" s="255"/>
      <c r="B33" s="255"/>
      <c r="C33" s="70"/>
      <c r="D33" s="70"/>
      <c r="E33" s="258"/>
      <c r="G33" s="93"/>
      <c r="H33" s="34"/>
      <c r="K33" s="31"/>
      <c r="N33" s="201"/>
    </row>
    <row r="34" spans="1:14" ht="65.25" customHeight="1" thickBot="1" x14ac:dyDescent="0.35">
      <c r="A34" s="255">
        <v>5</v>
      </c>
      <c r="B34" s="255" t="s">
        <v>322</v>
      </c>
      <c r="C34" s="682" t="s">
        <v>323</v>
      </c>
      <c r="D34" s="683"/>
      <c r="E34" s="261">
        <v>4</v>
      </c>
      <c r="G34" s="223" t="s">
        <v>324</v>
      </c>
      <c r="H34" s="34"/>
      <c r="K34" s="31"/>
      <c r="N34" s="201"/>
    </row>
    <row r="35" spans="1:14" ht="20.25" customHeight="1" x14ac:dyDescent="0.3">
      <c r="A35" s="255"/>
      <c r="B35" s="255"/>
      <c r="C35" s="215">
        <v>1</v>
      </c>
      <c r="D35" s="214" t="s">
        <v>1172</v>
      </c>
      <c r="E35" s="292"/>
      <c r="G35" s="93"/>
      <c r="H35" s="34"/>
      <c r="K35" s="31"/>
      <c r="N35" s="201"/>
    </row>
    <row r="36" spans="1:14" ht="20.25" customHeight="1" x14ac:dyDescent="0.3">
      <c r="A36" s="255"/>
      <c r="B36" s="255"/>
      <c r="C36" s="215">
        <v>2</v>
      </c>
      <c r="D36" s="214" t="s">
        <v>1173</v>
      </c>
      <c r="E36" s="292"/>
      <c r="G36" s="93"/>
      <c r="H36" s="34"/>
      <c r="K36" s="31"/>
      <c r="N36" s="201"/>
    </row>
    <row r="37" spans="1:14" ht="20.25" customHeight="1" x14ac:dyDescent="0.3">
      <c r="A37" s="255"/>
      <c r="B37" s="255"/>
      <c r="C37" s="215">
        <v>3</v>
      </c>
      <c r="D37" s="214" t="s">
        <v>1174</v>
      </c>
      <c r="E37" s="292"/>
      <c r="G37" s="93"/>
      <c r="H37" s="34"/>
      <c r="K37" s="31"/>
      <c r="N37" s="201"/>
    </row>
    <row r="38" spans="1:14" ht="20.25" customHeight="1" x14ac:dyDescent="0.3">
      <c r="A38" s="255"/>
      <c r="B38" s="255"/>
      <c r="C38" s="215">
        <v>4</v>
      </c>
      <c r="D38" s="214" t="s">
        <v>325</v>
      </c>
      <c r="E38" s="292"/>
      <c r="G38" s="93"/>
      <c r="H38" s="34"/>
      <c r="K38" s="31"/>
      <c r="N38" s="201"/>
    </row>
    <row r="39" spans="1:14" ht="19.5" thickBot="1" x14ac:dyDescent="0.35">
      <c r="A39" s="255"/>
      <c r="B39" s="255"/>
      <c r="C39" s="653" t="s">
        <v>103</v>
      </c>
      <c r="D39" s="654"/>
      <c r="E39" s="263">
        <f>E34</f>
        <v>4</v>
      </c>
      <c r="G39" s="93"/>
      <c r="H39" s="34"/>
      <c r="K39" s="31"/>
      <c r="N39" s="201"/>
    </row>
    <row r="40" spans="1:14" ht="19.5" thickBot="1" x14ac:dyDescent="0.35">
      <c r="A40" s="255"/>
      <c r="B40" s="255"/>
      <c r="C40" s="70"/>
      <c r="D40" s="70"/>
      <c r="E40" s="258"/>
      <c r="G40" s="93"/>
      <c r="H40" s="34"/>
      <c r="K40" s="31"/>
      <c r="N40" s="201"/>
    </row>
    <row r="41" spans="1:14" ht="65.25" customHeight="1" thickBot="1" x14ac:dyDescent="0.35">
      <c r="A41" s="255">
        <v>6</v>
      </c>
      <c r="B41" s="255" t="s">
        <v>326</v>
      </c>
      <c r="C41" s="682" t="s">
        <v>327</v>
      </c>
      <c r="D41" s="683"/>
      <c r="E41" s="261">
        <v>4</v>
      </c>
      <c r="G41" s="223" t="s">
        <v>328</v>
      </c>
      <c r="H41" s="34"/>
      <c r="K41" s="31"/>
      <c r="N41" s="201"/>
    </row>
    <row r="42" spans="1:14" ht="20.25" customHeight="1" x14ac:dyDescent="0.3">
      <c r="A42" s="255"/>
      <c r="B42" s="255"/>
      <c r="C42" s="215">
        <v>1</v>
      </c>
      <c r="D42" s="214" t="s">
        <v>329</v>
      </c>
      <c r="E42" s="292"/>
      <c r="G42" s="93"/>
      <c r="H42" s="34"/>
      <c r="K42" s="31"/>
      <c r="N42" s="201"/>
    </row>
    <row r="43" spans="1:14" ht="29.25" customHeight="1" x14ac:dyDescent="0.3">
      <c r="A43" s="255"/>
      <c r="B43" s="255"/>
      <c r="C43" s="215">
        <v>2</v>
      </c>
      <c r="D43" s="214" t="s">
        <v>330</v>
      </c>
      <c r="E43" s="292"/>
      <c r="G43" s="93"/>
      <c r="H43" s="34"/>
      <c r="K43" s="31"/>
      <c r="N43" s="201"/>
    </row>
    <row r="44" spans="1:14" ht="25.5" x14ac:dyDescent="0.3">
      <c r="A44" s="255"/>
      <c r="B44" s="255"/>
      <c r="C44" s="215">
        <v>3</v>
      </c>
      <c r="D44" s="214" t="s">
        <v>1175</v>
      </c>
      <c r="E44" s="292"/>
      <c r="G44" s="93"/>
      <c r="H44" s="34"/>
      <c r="K44" s="31"/>
      <c r="N44" s="201"/>
    </row>
    <row r="45" spans="1:14" ht="23.25" customHeight="1" x14ac:dyDescent="0.3">
      <c r="A45" s="255"/>
      <c r="B45" s="255"/>
      <c r="C45" s="215">
        <v>4</v>
      </c>
      <c r="D45" s="214" t="s">
        <v>1176</v>
      </c>
      <c r="E45" s="292"/>
      <c r="G45" s="93"/>
      <c r="H45" s="34"/>
      <c r="K45" s="31"/>
      <c r="N45" s="201"/>
    </row>
    <row r="46" spans="1:14" ht="19.5" thickBot="1" x14ac:dyDescent="0.35">
      <c r="A46" s="255"/>
      <c r="B46" s="255"/>
      <c r="C46" s="653" t="s">
        <v>103</v>
      </c>
      <c r="D46" s="654"/>
      <c r="E46" s="263">
        <f>E41</f>
        <v>4</v>
      </c>
      <c r="G46" s="93"/>
      <c r="H46" s="34"/>
      <c r="K46" s="31"/>
      <c r="N46" s="201"/>
    </row>
    <row r="47" spans="1:14" ht="19.5" thickBot="1" x14ac:dyDescent="0.35">
      <c r="A47" s="255"/>
      <c r="B47" s="255"/>
      <c r="C47" s="70"/>
      <c r="D47" s="70"/>
      <c r="E47" s="258"/>
      <c r="G47" s="93"/>
      <c r="H47" s="34"/>
      <c r="K47" s="31"/>
      <c r="N47" s="201"/>
    </row>
    <row r="48" spans="1:14" ht="75" customHeight="1" thickBot="1" x14ac:dyDescent="0.35">
      <c r="A48" s="255">
        <v>7</v>
      </c>
      <c r="B48" s="255" t="s">
        <v>331</v>
      </c>
      <c r="C48" s="661" t="s">
        <v>147</v>
      </c>
      <c r="D48" s="672"/>
      <c r="E48" s="261">
        <v>4</v>
      </c>
      <c r="G48" s="223" t="s">
        <v>252</v>
      </c>
      <c r="H48" s="34"/>
      <c r="K48" s="31"/>
      <c r="N48" s="201"/>
    </row>
    <row r="49" spans="1:14" ht="57" customHeight="1" x14ac:dyDescent="0.3">
      <c r="A49" s="255"/>
      <c r="B49" s="255"/>
      <c r="C49" s="215">
        <v>1</v>
      </c>
      <c r="D49" s="211" t="s">
        <v>332</v>
      </c>
      <c r="E49" s="292"/>
      <c r="G49" s="93"/>
      <c r="H49" s="34"/>
      <c r="K49" s="31"/>
      <c r="N49" s="201"/>
    </row>
    <row r="50" spans="1:14" ht="57" customHeight="1" x14ac:dyDescent="0.3">
      <c r="A50" s="255"/>
      <c r="B50" s="255"/>
      <c r="C50" s="215">
        <v>2</v>
      </c>
      <c r="D50" s="211" t="s">
        <v>333</v>
      </c>
      <c r="E50" s="292"/>
      <c r="G50" s="93"/>
      <c r="H50" s="34"/>
      <c r="K50" s="31"/>
      <c r="N50" s="201"/>
    </row>
    <row r="51" spans="1:14" ht="57" customHeight="1" x14ac:dyDescent="0.3">
      <c r="A51" s="255"/>
      <c r="B51" s="255"/>
      <c r="C51" s="215">
        <v>3</v>
      </c>
      <c r="D51" s="211" t="s">
        <v>334</v>
      </c>
      <c r="E51" s="292"/>
      <c r="G51" s="93"/>
      <c r="H51" s="34"/>
      <c r="K51" s="31"/>
      <c r="N51" s="201"/>
    </row>
    <row r="52" spans="1:14" ht="45" customHeight="1" x14ac:dyDescent="0.3">
      <c r="A52" s="255"/>
      <c r="B52" s="255"/>
      <c r="C52" s="215">
        <v>4</v>
      </c>
      <c r="D52" s="211" t="s">
        <v>335</v>
      </c>
      <c r="E52" s="292"/>
      <c r="G52" s="93"/>
      <c r="H52" s="34"/>
      <c r="K52" s="31"/>
      <c r="N52" s="201"/>
    </row>
    <row r="53" spans="1:14" ht="19.5" thickBot="1" x14ac:dyDescent="0.35">
      <c r="A53" s="255"/>
      <c r="B53" s="255"/>
      <c r="C53" s="653" t="s">
        <v>103</v>
      </c>
      <c r="D53" s="654"/>
      <c r="E53" s="263">
        <f>E48</f>
        <v>4</v>
      </c>
      <c r="G53" s="93"/>
      <c r="H53" s="34"/>
      <c r="K53" s="31"/>
      <c r="N53" s="201"/>
    </row>
    <row r="54" spans="1:14" ht="19.5" thickBot="1" x14ac:dyDescent="0.35">
      <c r="A54" s="255"/>
      <c r="B54" s="255"/>
      <c r="C54" s="70"/>
      <c r="D54" s="70"/>
      <c r="E54" s="258"/>
      <c r="G54" s="93"/>
      <c r="H54" s="34"/>
      <c r="K54" s="31"/>
      <c r="N54" s="201"/>
    </row>
    <row r="55" spans="1:14" ht="67.5" customHeight="1" thickBot="1" x14ac:dyDescent="0.35">
      <c r="A55" s="255">
        <v>8</v>
      </c>
      <c r="B55" s="255">
        <v>2.2999999999999998</v>
      </c>
      <c r="C55" s="686" t="s">
        <v>937</v>
      </c>
      <c r="D55" s="687"/>
      <c r="E55" s="261">
        <v>4</v>
      </c>
      <c r="G55" s="223" t="s">
        <v>253</v>
      </c>
      <c r="H55" s="34"/>
      <c r="K55" s="31"/>
      <c r="N55" s="201"/>
    </row>
    <row r="56" spans="1:14" ht="18.75" customHeight="1" x14ac:dyDescent="0.3">
      <c r="A56" s="255"/>
      <c r="B56" s="255"/>
      <c r="C56" s="217">
        <v>0</v>
      </c>
      <c r="D56" s="218" t="s">
        <v>336</v>
      </c>
      <c r="E56" s="292"/>
      <c r="G56" s="93"/>
      <c r="H56" s="34"/>
      <c r="K56" s="31"/>
      <c r="N56" s="201"/>
    </row>
    <row r="57" spans="1:14" ht="30" customHeight="1" x14ac:dyDescent="0.3">
      <c r="A57" s="255"/>
      <c r="B57" s="255"/>
      <c r="C57" s="217">
        <v>1</v>
      </c>
      <c r="D57" s="218" t="s">
        <v>337</v>
      </c>
      <c r="E57" s="292"/>
      <c r="G57" s="93"/>
      <c r="H57" s="34"/>
      <c r="K57" s="31"/>
      <c r="N57" s="201"/>
    </row>
    <row r="58" spans="1:14" ht="39" customHeight="1" x14ac:dyDescent="0.3">
      <c r="A58" s="255"/>
      <c r="B58" s="255"/>
      <c r="C58" s="217">
        <v>2</v>
      </c>
      <c r="D58" s="218" t="s">
        <v>1024</v>
      </c>
      <c r="E58" s="292"/>
      <c r="G58" s="93"/>
      <c r="H58" s="34"/>
      <c r="K58" s="31"/>
      <c r="N58" s="201"/>
    </row>
    <row r="59" spans="1:14" ht="42.75" customHeight="1" x14ac:dyDescent="0.3">
      <c r="A59" s="255"/>
      <c r="B59" s="255"/>
      <c r="C59" s="217">
        <v>3</v>
      </c>
      <c r="D59" s="218" t="s">
        <v>1025</v>
      </c>
      <c r="E59" s="292"/>
      <c r="G59" s="93"/>
      <c r="H59" s="34"/>
      <c r="K59" s="31"/>
      <c r="N59" s="201"/>
    </row>
    <row r="60" spans="1:14" ht="39" customHeight="1" x14ac:dyDescent="0.3">
      <c r="A60" s="255"/>
      <c r="B60" s="255"/>
      <c r="C60" s="217">
        <v>4</v>
      </c>
      <c r="D60" s="218" t="s">
        <v>338</v>
      </c>
      <c r="E60" s="292"/>
      <c r="G60" s="93"/>
      <c r="H60" s="34"/>
      <c r="K60" s="31"/>
      <c r="N60" s="201"/>
    </row>
    <row r="61" spans="1:14" ht="19.5" thickBot="1" x14ac:dyDescent="0.35">
      <c r="A61" s="255"/>
      <c r="B61" s="255"/>
      <c r="C61" s="653" t="s">
        <v>103</v>
      </c>
      <c r="D61" s="654"/>
      <c r="E61" s="263">
        <f>E55</f>
        <v>4</v>
      </c>
      <c r="G61" s="93"/>
      <c r="H61" s="34"/>
      <c r="K61" s="31"/>
      <c r="N61" s="201"/>
    </row>
    <row r="62" spans="1:14" ht="19.5" thickBot="1" x14ac:dyDescent="0.35">
      <c r="A62" s="255"/>
      <c r="B62" s="255"/>
      <c r="C62" s="70"/>
      <c r="D62" s="70"/>
      <c r="E62" s="264"/>
      <c r="G62" s="93"/>
      <c r="H62" s="34"/>
      <c r="K62" s="31"/>
      <c r="N62" s="201"/>
    </row>
    <row r="63" spans="1:14" ht="78" customHeight="1" thickBot="1" x14ac:dyDescent="0.35">
      <c r="A63" s="202">
        <v>9</v>
      </c>
      <c r="B63" s="257">
        <v>2.4</v>
      </c>
      <c r="C63" s="682" t="s">
        <v>1022</v>
      </c>
      <c r="D63" s="683"/>
      <c r="E63" s="261">
        <v>4</v>
      </c>
      <c r="G63" s="223" t="s">
        <v>254</v>
      </c>
      <c r="H63" s="34"/>
      <c r="K63" s="31"/>
      <c r="N63" s="201"/>
    </row>
    <row r="64" spans="1:14" ht="18" customHeight="1" x14ac:dyDescent="0.3">
      <c r="A64" s="202"/>
      <c r="B64" s="257"/>
      <c r="C64" s="217">
        <v>0</v>
      </c>
      <c r="D64" s="219" t="s">
        <v>339</v>
      </c>
      <c r="E64" s="292"/>
      <c r="G64" s="93"/>
      <c r="H64" s="34"/>
      <c r="K64" s="31"/>
      <c r="N64" s="201"/>
    </row>
    <row r="65" spans="1:14" ht="18" customHeight="1" x14ac:dyDescent="0.3">
      <c r="A65" s="202"/>
      <c r="B65" s="257"/>
      <c r="C65" s="217">
        <v>1</v>
      </c>
      <c r="D65" s="219" t="s">
        <v>340</v>
      </c>
      <c r="E65" s="292"/>
      <c r="G65" s="93"/>
      <c r="H65" s="34"/>
      <c r="K65" s="31"/>
      <c r="N65" s="201"/>
    </row>
    <row r="66" spans="1:14" ht="30.75" customHeight="1" x14ac:dyDescent="0.3">
      <c r="A66" s="202"/>
      <c r="B66" s="257"/>
      <c r="C66" s="217">
        <v>2</v>
      </c>
      <c r="D66" s="219" t="s">
        <v>341</v>
      </c>
      <c r="E66" s="292"/>
      <c r="G66" s="93"/>
      <c r="H66" s="34"/>
      <c r="K66" s="31"/>
      <c r="N66" s="201"/>
    </row>
    <row r="67" spans="1:14" ht="40.5" customHeight="1" x14ac:dyDescent="0.3">
      <c r="A67" s="202"/>
      <c r="B67" s="257"/>
      <c r="C67" s="217">
        <v>3</v>
      </c>
      <c r="D67" s="219" t="s">
        <v>342</v>
      </c>
      <c r="E67" s="292"/>
      <c r="G67" s="93"/>
      <c r="H67" s="34"/>
      <c r="K67" s="31"/>
      <c r="N67" s="201"/>
    </row>
    <row r="68" spans="1:14" ht="40.5" customHeight="1" x14ac:dyDescent="0.3">
      <c r="A68" s="202"/>
      <c r="B68" s="257"/>
      <c r="C68" s="217">
        <v>4</v>
      </c>
      <c r="D68" s="219" t="s">
        <v>343</v>
      </c>
      <c r="E68" s="292"/>
      <c r="G68" s="93"/>
      <c r="H68" s="34"/>
      <c r="K68" s="31"/>
      <c r="N68" s="201"/>
    </row>
    <row r="69" spans="1:14" ht="19.5" thickBot="1" x14ac:dyDescent="0.35">
      <c r="A69" s="255"/>
      <c r="B69" s="255"/>
      <c r="C69" s="653" t="s">
        <v>103</v>
      </c>
      <c r="D69" s="654"/>
      <c r="E69" s="263">
        <f>E63</f>
        <v>4</v>
      </c>
      <c r="G69" s="93"/>
      <c r="H69" s="34"/>
      <c r="K69" s="31"/>
      <c r="N69" s="201"/>
    </row>
    <row r="70" spans="1:14" ht="19.5" thickBot="1" x14ac:dyDescent="0.35">
      <c r="A70" s="255"/>
      <c r="B70" s="255"/>
      <c r="C70" s="70"/>
      <c r="D70" s="70"/>
      <c r="E70" s="258"/>
      <c r="G70" s="93"/>
      <c r="H70" s="34"/>
      <c r="K70" s="31"/>
      <c r="N70" s="201"/>
    </row>
    <row r="71" spans="1:14" ht="69" customHeight="1" thickBot="1" x14ac:dyDescent="0.35">
      <c r="A71" s="255">
        <v>10</v>
      </c>
      <c r="B71" s="894">
        <v>2.5</v>
      </c>
      <c r="C71" s="661" t="s">
        <v>142</v>
      </c>
      <c r="D71" s="672"/>
      <c r="E71" s="261">
        <v>4</v>
      </c>
      <c r="G71" s="223" t="s">
        <v>256</v>
      </c>
      <c r="H71" s="34"/>
      <c r="K71" s="31"/>
      <c r="N71" s="201"/>
    </row>
    <row r="72" spans="1:14" ht="18" customHeight="1" x14ac:dyDescent="0.3">
      <c r="A72" s="255"/>
      <c r="B72" s="255"/>
      <c r="C72" s="217">
        <v>0</v>
      </c>
      <c r="D72" s="211" t="s">
        <v>344</v>
      </c>
      <c r="E72" s="292"/>
      <c r="G72" s="93"/>
      <c r="H72" s="34"/>
      <c r="K72" s="31"/>
      <c r="N72" s="201"/>
    </row>
    <row r="73" spans="1:14" ht="30" customHeight="1" x14ac:dyDescent="0.3">
      <c r="A73" s="255"/>
      <c r="B73" s="255"/>
      <c r="C73" s="217">
        <v>1</v>
      </c>
      <c r="D73" s="211" t="s">
        <v>345</v>
      </c>
      <c r="E73" s="292"/>
      <c r="G73" s="93"/>
      <c r="H73" s="34"/>
      <c r="K73" s="31"/>
      <c r="N73" s="201"/>
    </row>
    <row r="74" spans="1:14" ht="30" customHeight="1" x14ac:dyDescent="0.3">
      <c r="A74" s="255"/>
      <c r="B74" s="255"/>
      <c r="C74" s="217">
        <v>2</v>
      </c>
      <c r="D74" s="211" t="s">
        <v>346</v>
      </c>
      <c r="E74" s="292"/>
      <c r="G74" s="93"/>
      <c r="H74" s="34"/>
      <c r="K74" s="31"/>
      <c r="N74" s="201"/>
    </row>
    <row r="75" spans="1:14" ht="30" customHeight="1" x14ac:dyDescent="0.3">
      <c r="A75" s="255"/>
      <c r="B75" s="255"/>
      <c r="C75" s="217">
        <v>3</v>
      </c>
      <c r="D75" s="211" t="s">
        <v>347</v>
      </c>
      <c r="E75" s="292"/>
      <c r="G75" s="93"/>
      <c r="H75" s="34"/>
      <c r="K75" s="31"/>
      <c r="N75" s="201"/>
    </row>
    <row r="76" spans="1:14" ht="30" customHeight="1" x14ac:dyDescent="0.3">
      <c r="A76" s="255"/>
      <c r="B76" s="255"/>
      <c r="C76" s="217">
        <v>4</v>
      </c>
      <c r="D76" s="211" t="s">
        <v>348</v>
      </c>
      <c r="E76" s="292"/>
      <c r="G76" s="93"/>
      <c r="H76" s="34"/>
      <c r="K76" s="31"/>
      <c r="N76" s="201"/>
    </row>
    <row r="77" spans="1:14" ht="19.5" thickBot="1" x14ac:dyDescent="0.35">
      <c r="A77" s="255"/>
      <c r="B77" s="255"/>
      <c r="C77" s="645" t="s">
        <v>103</v>
      </c>
      <c r="D77" s="646"/>
      <c r="E77" s="263">
        <f>E71</f>
        <v>4</v>
      </c>
      <c r="G77" s="93"/>
      <c r="H77" s="34"/>
      <c r="K77" s="31"/>
      <c r="N77" s="201"/>
    </row>
    <row r="78" spans="1:14" ht="19.5" thickBot="1" x14ac:dyDescent="0.35">
      <c r="A78" s="255"/>
      <c r="B78" s="255"/>
      <c r="C78" s="68"/>
      <c r="D78" s="68"/>
      <c r="E78" s="258"/>
      <c r="G78" s="93"/>
      <c r="H78" s="34"/>
      <c r="K78" s="31"/>
      <c r="N78" s="201"/>
    </row>
    <row r="79" spans="1:14" ht="84" customHeight="1" thickBot="1" x14ac:dyDescent="0.35">
      <c r="A79" s="255">
        <v>11</v>
      </c>
      <c r="B79" s="894">
        <v>2.6</v>
      </c>
      <c r="C79" s="659" t="s">
        <v>349</v>
      </c>
      <c r="D79" s="660"/>
      <c r="E79" s="261">
        <v>4</v>
      </c>
      <c r="G79" s="223" t="s">
        <v>255</v>
      </c>
      <c r="H79" s="34"/>
      <c r="K79" s="31"/>
      <c r="N79" s="201"/>
    </row>
    <row r="80" spans="1:14" ht="18" customHeight="1" x14ac:dyDescent="0.3">
      <c r="A80" s="255"/>
      <c r="B80" s="255"/>
      <c r="C80" s="217">
        <v>0</v>
      </c>
      <c r="D80" s="220" t="s">
        <v>350</v>
      </c>
      <c r="E80" s="292"/>
      <c r="G80" s="93"/>
      <c r="H80" s="34"/>
      <c r="K80" s="31"/>
      <c r="N80" s="201"/>
    </row>
    <row r="81" spans="1:14" ht="18" customHeight="1" x14ac:dyDescent="0.3">
      <c r="A81" s="255"/>
      <c r="B81" s="255"/>
      <c r="C81" s="217">
        <v>1</v>
      </c>
      <c r="D81" s="220" t="s">
        <v>351</v>
      </c>
      <c r="E81" s="292"/>
      <c r="G81" s="93"/>
      <c r="H81" s="34"/>
      <c r="K81" s="31"/>
      <c r="N81" s="201"/>
    </row>
    <row r="82" spans="1:14" ht="18" customHeight="1" x14ac:dyDescent="0.3">
      <c r="A82" s="255"/>
      <c r="B82" s="255"/>
      <c r="C82" s="217">
        <v>2</v>
      </c>
      <c r="D82" s="220" t="s">
        <v>352</v>
      </c>
      <c r="E82" s="292"/>
      <c r="G82" s="93"/>
      <c r="H82" s="34"/>
      <c r="K82" s="31"/>
      <c r="N82" s="201"/>
    </row>
    <row r="83" spans="1:14" ht="18" customHeight="1" x14ac:dyDescent="0.3">
      <c r="A83" s="255"/>
      <c r="B83" s="255"/>
      <c r="C83" s="217">
        <v>3</v>
      </c>
      <c r="D83" s="220" t="s">
        <v>353</v>
      </c>
      <c r="E83" s="292"/>
      <c r="G83" s="93"/>
      <c r="H83" s="34"/>
      <c r="K83" s="31"/>
      <c r="N83" s="201"/>
    </row>
    <row r="84" spans="1:14" ht="18" customHeight="1" x14ac:dyDescent="0.3">
      <c r="A84" s="255"/>
      <c r="B84" s="255"/>
      <c r="C84" s="217">
        <v>4</v>
      </c>
      <c r="D84" s="220" t="s">
        <v>354</v>
      </c>
      <c r="E84" s="292"/>
      <c r="G84" s="93"/>
      <c r="H84" s="34"/>
      <c r="K84" s="31"/>
      <c r="N84" s="201"/>
    </row>
    <row r="85" spans="1:14" ht="19.5" thickBot="1" x14ac:dyDescent="0.35">
      <c r="A85" s="255"/>
      <c r="B85" s="255"/>
      <c r="C85" s="645" t="s">
        <v>103</v>
      </c>
      <c r="D85" s="646"/>
      <c r="E85" s="263">
        <f>E79</f>
        <v>4</v>
      </c>
      <c r="G85" s="93"/>
      <c r="H85" s="34"/>
      <c r="K85" s="31"/>
      <c r="N85" s="201"/>
    </row>
    <row r="86" spans="1:14" ht="19.5" thickBot="1" x14ac:dyDescent="0.35">
      <c r="A86" s="255"/>
      <c r="B86" s="255"/>
      <c r="C86" s="79"/>
      <c r="D86" s="79"/>
      <c r="E86" s="264"/>
      <c r="G86" s="93"/>
      <c r="H86" s="34"/>
      <c r="K86" s="31"/>
      <c r="N86" s="201"/>
    </row>
    <row r="87" spans="1:14" ht="105.75" customHeight="1" thickBot="1" x14ac:dyDescent="0.35">
      <c r="A87" s="255">
        <v>12</v>
      </c>
      <c r="B87" s="894">
        <v>3.1</v>
      </c>
      <c r="C87" s="659" t="s">
        <v>355</v>
      </c>
      <c r="D87" s="660"/>
      <c r="E87" s="261">
        <v>4</v>
      </c>
      <c r="G87" s="223" t="s">
        <v>257</v>
      </c>
      <c r="H87" s="34"/>
      <c r="K87" s="31"/>
      <c r="N87" s="201"/>
    </row>
    <row r="88" spans="1:14" ht="28.5" customHeight="1" x14ac:dyDescent="0.3">
      <c r="A88" s="255"/>
      <c r="B88" s="255"/>
      <c r="C88" s="217">
        <v>0</v>
      </c>
      <c r="D88" s="210" t="s">
        <v>356</v>
      </c>
      <c r="E88" s="292"/>
      <c r="G88" s="93"/>
      <c r="H88" s="34"/>
      <c r="K88" s="31"/>
      <c r="N88" s="201"/>
    </row>
    <row r="89" spans="1:14" ht="28.5" customHeight="1" x14ac:dyDescent="0.3">
      <c r="A89" s="255"/>
      <c r="B89" s="255"/>
      <c r="C89" s="217">
        <v>1</v>
      </c>
      <c r="D89" s="210" t="s">
        <v>357</v>
      </c>
      <c r="E89" s="292"/>
      <c r="G89" s="93"/>
      <c r="H89" s="34"/>
      <c r="K89" s="31"/>
      <c r="N89" s="201"/>
    </row>
    <row r="90" spans="1:14" ht="28.5" customHeight="1" x14ac:dyDescent="0.3">
      <c r="A90" s="255"/>
      <c r="B90" s="255"/>
      <c r="C90" s="217">
        <v>2</v>
      </c>
      <c r="D90" s="213" t="s">
        <v>938</v>
      </c>
      <c r="E90" s="292"/>
      <c r="G90" s="93"/>
      <c r="H90" s="34"/>
      <c r="K90" s="31"/>
      <c r="N90" s="201"/>
    </row>
    <row r="91" spans="1:14" ht="28.5" customHeight="1" x14ac:dyDescent="0.3">
      <c r="A91" s="255"/>
      <c r="B91" s="255"/>
      <c r="C91" s="217">
        <v>3</v>
      </c>
      <c r="D91" s="213" t="s">
        <v>939</v>
      </c>
      <c r="E91" s="292"/>
      <c r="G91" s="93"/>
      <c r="H91" s="34"/>
      <c r="K91" s="31"/>
      <c r="N91" s="201"/>
    </row>
    <row r="92" spans="1:14" ht="28.5" customHeight="1" x14ac:dyDescent="0.3">
      <c r="A92" s="255"/>
      <c r="B92" s="255"/>
      <c r="C92" s="217">
        <v>4</v>
      </c>
      <c r="D92" s="210" t="s">
        <v>358</v>
      </c>
      <c r="E92" s="292"/>
      <c r="G92" s="93"/>
      <c r="H92" s="34"/>
      <c r="K92" s="31"/>
      <c r="N92" s="201"/>
    </row>
    <row r="93" spans="1:14" ht="19.5" thickBot="1" x14ac:dyDescent="0.35">
      <c r="A93" s="255"/>
      <c r="B93" s="255"/>
      <c r="C93" s="696" t="s">
        <v>103</v>
      </c>
      <c r="D93" s="697"/>
      <c r="E93" s="263">
        <f>E87</f>
        <v>4</v>
      </c>
      <c r="G93" s="93"/>
      <c r="H93" s="34"/>
      <c r="K93" s="31"/>
      <c r="N93" s="201"/>
    </row>
    <row r="94" spans="1:14" ht="19.5" thickBot="1" x14ac:dyDescent="0.35">
      <c r="A94" s="255"/>
      <c r="B94" s="255"/>
      <c r="C94" s="72"/>
      <c r="D94" s="72"/>
      <c r="E94" s="258"/>
      <c r="G94" s="93"/>
      <c r="H94" s="34"/>
      <c r="K94" s="31"/>
      <c r="N94" s="201"/>
    </row>
    <row r="95" spans="1:14" ht="36.75" customHeight="1" thickBot="1" x14ac:dyDescent="0.35">
      <c r="A95" s="255">
        <v>13</v>
      </c>
      <c r="B95" s="255" t="s">
        <v>149</v>
      </c>
      <c r="C95" s="692" t="s">
        <v>360</v>
      </c>
      <c r="D95" s="700"/>
      <c r="E95" s="265"/>
      <c r="G95" s="99" t="str">
        <f>C95&amp;" = "&amp;E96&amp;"/"&amp;E97&amp;" = "&amp;TEXT(E98,"0.00")&amp;"."</f>
        <v>Rasio calon peserta didik yang ikut seleksi : lulus seleksi = 10/9 = 1.11.</v>
      </c>
      <c r="H95" s="34"/>
      <c r="K95" s="31"/>
      <c r="N95" s="201"/>
    </row>
    <row r="96" spans="1:14" x14ac:dyDescent="0.25">
      <c r="A96" s="255"/>
      <c r="B96" s="255"/>
      <c r="C96" s="66" t="s">
        <v>362</v>
      </c>
      <c r="D96" s="67"/>
      <c r="E96" s="266">
        <v>10</v>
      </c>
      <c r="G96" s="651"/>
    </row>
    <row r="97" spans="1:16" ht="15.75" thickBot="1" x14ac:dyDescent="0.3">
      <c r="A97" s="255"/>
      <c r="B97" s="255"/>
      <c r="C97" s="66" t="s">
        <v>361</v>
      </c>
      <c r="D97" s="67"/>
      <c r="E97" s="266">
        <v>9</v>
      </c>
      <c r="G97" s="652"/>
    </row>
    <row r="98" spans="1:16" ht="15.75" customHeight="1" x14ac:dyDescent="0.25">
      <c r="A98" s="255"/>
      <c r="B98" s="255"/>
      <c r="C98" s="670" t="s">
        <v>359</v>
      </c>
      <c r="D98" s="671"/>
      <c r="E98" s="267">
        <f>(E96/E97)</f>
        <v>1.1111111111111112</v>
      </c>
      <c r="G98" s="93"/>
    </row>
    <row r="99" spans="1:16" ht="15.75" thickBot="1" x14ac:dyDescent="0.3">
      <c r="A99" s="255"/>
      <c r="B99" s="255"/>
      <c r="C99" s="653" t="s">
        <v>103</v>
      </c>
      <c r="D99" s="654"/>
      <c r="E99" s="263">
        <f>IF(E98&lt;=1,2,IF(E98&lt;3,1+E98,4))</f>
        <v>2.1111111111111112</v>
      </c>
      <c r="G99" s="93"/>
      <c r="N99" s="203"/>
    </row>
    <row r="100" spans="1:16" ht="15.75" thickBot="1" x14ac:dyDescent="0.3">
      <c r="A100" s="255"/>
      <c r="B100" s="255"/>
      <c r="C100" s="72"/>
      <c r="D100" s="72"/>
      <c r="E100" s="258"/>
      <c r="G100" s="93"/>
      <c r="N100" s="669"/>
      <c r="O100" s="669"/>
      <c r="P100" s="669"/>
    </row>
    <row r="101" spans="1:16" ht="37.5" customHeight="1" thickBot="1" x14ac:dyDescent="0.35">
      <c r="A101" s="255">
        <v>14</v>
      </c>
      <c r="B101" s="255" t="s">
        <v>150</v>
      </c>
      <c r="C101" s="659" t="s">
        <v>363</v>
      </c>
      <c r="D101" s="660"/>
      <c r="E101" s="265"/>
      <c r="G101" s="99" t="str">
        <f>C101&amp;" = ("&amp;E102&amp;"/"&amp;E103&amp;") = "&amp;TEXT(E104,"0.00")&amp;"."</f>
        <v>Rasio peserta didik baru : total peserta didik = (20/35) = 0.57.</v>
      </c>
      <c r="P101" s="201"/>
    </row>
    <row r="102" spans="1:16" ht="17.25" customHeight="1" x14ac:dyDescent="0.3">
      <c r="A102" s="255"/>
      <c r="B102" s="255"/>
      <c r="C102" s="221" t="s">
        <v>365</v>
      </c>
      <c r="D102" s="361" t="s">
        <v>1029</v>
      </c>
      <c r="E102" s="266">
        <v>20</v>
      </c>
      <c r="G102" s="651"/>
      <c r="P102" s="201"/>
    </row>
    <row r="103" spans="1:16" ht="17.25" customHeight="1" thickBot="1" x14ac:dyDescent="0.35">
      <c r="A103" s="255"/>
      <c r="B103" s="255"/>
      <c r="C103" s="221" t="s">
        <v>364</v>
      </c>
      <c r="D103" s="361" t="s">
        <v>1028</v>
      </c>
      <c r="E103" s="266">
        <v>35</v>
      </c>
      <c r="G103" s="652"/>
      <c r="P103" s="201"/>
    </row>
    <row r="104" spans="1:16" ht="18.75" x14ac:dyDescent="0.3">
      <c r="A104" s="255"/>
      <c r="B104" s="255"/>
      <c r="C104" s="698" t="s">
        <v>258</v>
      </c>
      <c r="D104" s="699"/>
      <c r="E104" s="293">
        <f>(E102/E103)</f>
        <v>0.5714285714285714</v>
      </c>
      <c r="G104" s="93"/>
      <c r="P104" s="201"/>
    </row>
    <row r="105" spans="1:16" ht="19.5" thickBot="1" x14ac:dyDescent="0.35">
      <c r="A105" s="255"/>
      <c r="B105" s="255"/>
      <c r="C105" s="653" t="s">
        <v>103</v>
      </c>
      <c r="D105" s="654"/>
      <c r="E105" s="263">
        <f>IF(E104&lt;0,"Salah Isi",IF(E104&lt;=0.08, 0, IF(E104&lt;0.18,(40*E104)-(16/5),IF(E104&lt;=0.22,4,IF(E104&lt;0.4,(80-200*E104)/9,IF(E104&lt;=1,0,"Salah isi"))))))</f>
        <v>0</v>
      </c>
      <c r="G105" s="204"/>
      <c r="P105" s="201"/>
    </row>
    <row r="106" spans="1:16" ht="19.5" thickBot="1" x14ac:dyDescent="0.35">
      <c r="A106" s="255"/>
      <c r="B106" s="255"/>
      <c r="C106" s="72"/>
      <c r="D106" s="72"/>
      <c r="E106" s="258"/>
      <c r="G106" s="93"/>
      <c r="P106" s="201"/>
    </row>
    <row r="107" spans="1:16" ht="55.5" customHeight="1" thickBot="1" x14ac:dyDescent="0.35">
      <c r="A107" s="255">
        <v>15</v>
      </c>
      <c r="B107" s="255" t="s">
        <v>366</v>
      </c>
      <c r="C107" s="659" t="s">
        <v>367</v>
      </c>
      <c r="D107" s="660"/>
      <c r="E107" s="265"/>
      <c r="G107" s="99" t="str">
        <f>IF(SUM(E108:E110)=0,"Belum ada lulusan. ", "")&amp;IF(E108=0,"",D108&amp;" = "&amp;E108&amp;" orang. ")&amp;IF(E109=0,"",D109&amp;" = "&amp;E109&amp;" orang. ")&amp;IF(E110=0,"",D110&amp;" = "&amp;E110&amp;" orang. ")</f>
        <v xml:space="preserve">Jumlah lulusan dengan IPK 2.75 s.d. 3.00 = 4 orang. Jumlah lulusan dengan IPK 3.01 s.d. 3.49 = 7 orang. Jumlah lulusan dengan IPK ≥ 3.5 = 5 orang. </v>
      </c>
      <c r="P107" s="201"/>
    </row>
    <row r="108" spans="1:16" ht="15.75" customHeight="1" x14ac:dyDescent="0.3">
      <c r="A108" s="255"/>
      <c r="B108" s="255"/>
      <c r="C108" s="221" t="s">
        <v>368</v>
      </c>
      <c r="D108" s="213" t="s">
        <v>1177</v>
      </c>
      <c r="E108" s="266">
        <v>4</v>
      </c>
      <c r="G108" s="651"/>
      <c r="P108" s="201"/>
    </row>
    <row r="109" spans="1:16" ht="15.75" customHeight="1" thickBot="1" x14ac:dyDescent="0.35">
      <c r="A109" s="255"/>
      <c r="B109" s="255"/>
      <c r="C109" s="221" t="s">
        <v>369</v>
      </c>
      <c r="D109" s="213" t="s">
        <v>1178</v>
      </c>
      <c r="E109" s="266">
        <v>7</v>
      </c>
      <c r="G109" s="652"/>
      <c r="P109" s="201"/>
    </row>
    <row r="110" spans="1:16" ht="15.75" customHeight="1" x14ac:dyDescent="0.3">
      <c r="A110" s="255"/>
      <c r="B110" s="255"/>
      <c r="C110" s="221" t="s">
        <v>370</v>
      </c>
      <c r="D110" s="213" t="s">
        <v>1179</v>
      </c>
      <c r="E110" s="266">
        <v>5</v>
      </c>
      <c r="P110" s="201"/>
    </row>
    <row r="111" spans="1:16" ht="18.75" x14ac:dyDescent="0.3">
      <c r="A111" s="255"/>
      <c r="B111" s="255"/>
      <c r="C111" s="71" t="s">
        <v>109</v>
      </c>
      <c r="D111" s="101" t="s">
        <v>371</v>
      </c>
      <c r="E111" s="267">
        <f>SUM(E108:E110)</f>
        <v>16</v>
      </c>
      <c r="P111" s="201"/>
    </row>
    <row r="112" spans="1:16" ht="18.75" x14ac:dyDescent="0.3">
      <c r="A112" s="255"/>
      <c r="B112" s="255"/>
      <c r="C112" s="71" t="s">
        <v>372</v>
      </c>
      <c r="D112" s="222" t="s">
        <v>373</v>
      </c>
      <c r="E112" s="267">
        <f>IF(E111=0,0,(2*E108+3*E109+4*E110)/E111)</f>
        <v>3.0625</v>
      </c>
      <c r="P112" s="201"/>
    </row>
    <row r="113" spans="1:17" ht="19.5" thickBot="1" x14ac:dyDescent="0.35">
      <c r="A113" s="255"/>
      <c r="B113" s="255"/>
      <c r="C113" s="653" t="s">
        <v>103</v>
      </c>
      <c r="D113" s="654"/>
      <c r="E113" s="263">
        <f>E112</f>
        <v>3.0625</v>
      </c>
      <c r="P113" s="201"/>
    </row>
    <row r="114" spans="1:17" ht="19.5" thickBot="1" x14ac:dyDescent="0.35">
      <c r="A114" s="255"/>
      <c r="B114" s="255"/>
      <c r="C114" s="72"/>
      <c r="D114" s="72"/>
      <c r="E114" s="258"/>
      <c r="G114" s="93"/>
      <c r="P114" s="201"/>
    </row>
    <row r="115" spans="1:17" ht="71.25" customHeight="1" thickBot="1" x14ac:dyDescent="0.35">
      <c r="A115" s="255">
        <v>16</v>
      </c>
      <c r="B115" s="255" t="s">
        <v>151</v>
      </c>
      <c r="C115" s="659" t="s">
        <v>374</v>
      </c>
      <c r="D115" s="660"/>
      <c r="E115" s="261">
        <v>4</v>
      </c>
      <c r="G115" s="223" t="s">
        <v>375</v>
      </c>
      <c r="P115" s="201"/>
    </row>
    <row r="116" spans="1:17" s="224" customFormat="1" ht="32.25" customHeight="1" x14ac:dyDescent="0.25">
      <c r="A116" s="258"/>
      <c r="B116" s="258"/>
      <c r="C116" s="217">
        <v>1</v>
      </c>
      <c r="D116" s="220" t="s">
        <v>376</v>
      </c>
      <c r="E116" s="294"/>
      <c r="G116" s="225"/>
      <c r="H116" s="61"/>
      <c r="M116" s="226"/>
      <c r="N116" s="226"/>
      <c r="O116" s="226"/>
      <c r="P116" s="227"/>
      <c r="Q116" s="226"/>
    </row>
    <row r="117" spans="1:17" s="224" customFormat="1" ht="32.25" customHeight="1" x14ac:dyDescent="0.25">
      <c r="A117" s="258"/>
      <c r="B117" s="258"/>
      <c r="C117" s="217">
        <v>2</v>
      </c>
      <c r="D117" s="220" t="s">
        <v>377</v>
      </c>
      <c r="E117" s="294"/>
      <c r="G117" s="225"/>
      <c r="H117" s="61"/>
      <c r="M117" s="226"/>
      <c r="N117" s="226"/>
      <c r="O117" s="226"/>
      <c r="P117" s="227"/>
      <c r="Q117" s="226"/>
    </row>
    <row r="118" spans="1:17" s="224" customFormat="1" ht="32.25" customHeight="1" x14ac:dyDescent="0.25">
      <c r="A118" s="258"/>
      <c r="B118" s="258"/>
      <c r="C118" s="217">
        <v>3</v>
      </c>
      <c r="D118" s="220" t="s">
        <v>378</v>
      </c>
      <c r="E118" s="294"/>
      <c r="G118" s="225"/>
      <c r="H118" s="61"/>
      <c r="M118" s="226"/>
      <c r="N118" s="226"/>
      <c r="O118" s="226"/>
      <c r="P118" s="227"/>
      <c r="Q118" s="226"/>
    </row>
    <row r="119" spans="1:17" s="224" customFormat="1" ht="32.25" customHeight="1" x14ac:dyDescent="0.25">
      <c r="A119" s="258"/>
      <c r="B119" s="258"/>
      <c r="C119" s="217">
        <v>4</v>
      </c>
      <c r="D119" s="220" t="s">
        <v>379</v>
      </c>
      <c r="E119" s="294"/>
      <c r="G119" s="225"/>
      <c r="H119" s="61"/>
      <c r="M119" s="226"/>
      <c r="N119" s="226"/>
      <c r="O119" s="226"/>
      <c r="P119" s="227"/>
      <c r="Q119" s="226"/>
    </row>
    <row r="120" spans="1:17" ht="19.5" thickBot="1" x14ac:dyDescent="0.35">
      <c r="A120" s="255"/>
      <c r="B120" s="255"/>
      <c r="C120" s="645" t="s">
        <v>103</v>
      </c>
      <c r="D120" s="646"/>
      <c r="E120" s="263">
        <f>E115</f>
        <v>4</v>
      </c>
      <c r="G120" s="93"/>
      <c r="P120" s="201"/>
    </row>
    <row r="121" spans="1:17" ht="19.5" thickBot="1" x14ac:dyDescent="0.35">
      <c r="A121" s="255"/>
      <c r="B121" s="255"/>
      <c r="C121" s="72"/>
      <c r="D121" s="72"/>
      <c r="E121" s="258"/>
      <c r="G121" s="93"/>
      <c r="P121" s="201"/>
    </row>
    <row r="122" spans="1:17" ht="36.75" customHeight="1" thickBot="1" x14ac:dyDescent="0.35">
      <c r="A122" s="255">
        <v>17</v>
      </c>
      <c r="B122" s="255" t="s">
        <v>152</v>
      </c>
      <c r="C122" s="701" t="s">
        <v>385</v>
      </c>
      <c r="D122" s="702"/>
      <c r="E122" s="265"/>
      <c r="G122" s="99" t="str">
        <f>C122&amp;" = ("&amp;E124&amp;"/"&amp;E123&amp;") x 100% = "&amp;TEXT(E125,"0.00%")&amp;"."</f>
        <v>Persentase kelulusan dokter spesialis tepat waktu = (35/60) x 100% = 58.33%.</v>
      </c>
      <c r="P122" s="201"/>
    </row>
    <row r="123" spans="1:17" ht="30.75" customHeight="1" x14ac:dyDescent="0.3">
      <c r="A123" s="255"/>
      <c r="B123" s="255"/>
      <c r="C123" s="71" t="s">
        <v>382</v>
      </c>
      <c r="D123" s="100" t="s">
        <v>380</v>
      </c>
      <c r="E123" s="266">
        <v>60</v>
      </c>
      <c r="G123" s="651"/>
      <c r="P123" s="201"/>
    </row>
    <row r="124" spans="1:17" ht="19.5" thickBot="1" x14ac:dyDescent="0.35">
      <c r="A124" s="255"/>
      <c r="B124" s="255"/>
      <c r="C124" s="71" t="s">
        <v>383</v>
      </c>
      <c r="D124" s="101" t="s">
        <v>381</v>
      </c>
      <c r="E124" s="266">
        <v>35</v>
      </c>
      <c r="G124" s="652"/>
      <c r="P124" s="201"/>
    </row>
    <row r="125" spans="1:17" ht="18.75" x14ac:dyDescent="0.3">
      <c r="A125" s="255"/>
      <c r="B125" s="255"/>
      <c r="C125" s="670" t="s">
        <v>384</v>
      </c>
      <c r="D125" s="671"/>
      <c r="E125" s="295">
        <f>E124/E123</f>
        <v>0.58333333333333337</v>
      </c>
      <c r="G125" s="93"/>
      <c r="P125" s="201"/>
    </row>
    <row r="126" spans="1:17" ht="19.5" thickBot="1" x14ac:dyDescent="0.35">
      <c r="A126" s="255"/>
      <c r="B126" s="255"/>
      <c r="C126" s="653" t="s">
        <v>103</v>
      </c>
      <c r="D126" s="654"/>
      <c r="E126" s="263">
        <f>IF(E125=0%,0,IF(E125&lt;50%,1+6*E125,4))</f>
        <v>4</v>
      </c>
      <c r="G126" s="93"/>
      <c r="P126" s="201"/>
    </row>
    <row r="127" spans="1:17" ht="19.5" thickBot="1" x14ac:dyDescent="0.35">
      <c r="A127" s="255"/>
      <c r="B127" s="255"/>
      <c r="C127" s="72"/>
      <c r="D127" s="72"/>
      <c r="E127" s="258"/>
      <c r="G127" s="93"/>
      <c r="P127" s="201"/>
    </row>
    <row r="128" spans="1:17" ht="33" customHeight="1" thickBot="1" x14ac:dyDescent="0.35">
      <c r="A128" s="202">
        <v>18</v>
      </c>
      <c r="B128" s="205" t="s">
        <v>386</v>
      </c>
      <c r="C128" s="680" t="s">
        <v>389</v>
      </c>
      <c r="D128" s="681"/>
      <c r="E128" s="270"/>
      <c r="G128" s="99" t="str">
        <f>C128&amp;" = ("&amp;E130&amp;"/"&amp;E129&amp;") x 100% = "&amp;TEXT(E131,"0.00%")&amp;"."</f>
        <v>Ujian nasional dalam tiga tahun terakhir. Persentase kelulusan first-taker = (50/55) x 100% = 90.91%.</v>
      </c>
      <c r="P128" s="201"/>
    </row>
    <row r="129" spans="1:16" ht="17.25" customHeight="1" x14ac:dyDescent="0.3">
      <c r="A129" s="255"/>
      <c r="B129" s="255"/>
      <c r="C129" s="71" t="s">
        <v>44</v>
      </c>
      <c r="D129" s="212" t="s">
        <v>387</v>
      </c>
      <c r="E129" s="266">
        <v>55</v>
      </c>
      <c r="G129" s="651"/>
      <c r="P129" s="201"/>
    </row>
    <row r="130" spans="1:16" ht="19.5" thickBot="1" x14ac:dyDescent="0.35">
      <c r="A130" s="255"/>
      <c r="B130" s="255"/>
      <c r="C130" s="71" t="s">
        <v>46</v>
      </c>
      <c r="D130" s="212" t="s">
        <v>388</v>
      </c>
      <c r="E130" s="266">
        <v>50</v>
      </c>
      <c r="G130" s="652"/>
      <c r="P130" s="201"/>
    </row>
    <row r="131" spans="1:16" ht="18.75" x14ac:dyDescent="0.3">
      <c r="A131" s="255"/>
      <c r="B131" s="255"/>
      <c r="C131" s="197" t="s">
        <v>1030</v>
      </c>
      <c r="D131" s="198"/>
      <c r="E131" s="295">
        <f>E130/E129</f>
        <v>0.90909090909090906</v>
      </c>
      <c r="G131" s="93"/>
      <c r="P131" s="201"/>
    </row>
    <row r="132" spans="1:16" ht="19.5" thickBot="1" x14ac:dyDescent="0.35">
      <c r="A132" s="255"/>
      <c r="B132" s="255"/>
      <c r="C132" s="684" t="s">
        <v>103</v>
      </c>
      <c r="D132" s="685"/>
      <c r="E132" s="263">
        <f>IF(E131&lt;=70%,0,IF(E131&lt;90%,20*E131-14,4))</f>
        <v>4</v>
      </c>
      <c r="G132" s="93"/>
      <c r="P132" s="201"/>
    </row>
    <row r="133" spans="1:16" ht="19.5" thickBot="1" x14ac:dyDescent="0.35">
      <c r="A133" s="255"/>
      <c r="B133" s="255"/>
      <c r="C133" s="83"/>
      <c r="D133" s="83"/>
      <c r="E133" s="262"/>
      <c r="G133" s="93"/>
      <c r="P133" s="201"/>
    </row>
    <row r="134" spans="1:16" ht="81.75" customHeight="1" thickBot="1" x14ac:dyDescent="0.35">
      <c r="A134" s="255">
        <v>19</v>
      </c>
      <c r="B134" s="255">
        <v>3.3</v>
      </c>
      <c r="C134" s="659" t="s">
        <v>1031</v>
      </c>
      <c r="D134" s="660"/>
      <c r="E134" s="261">
        <v>4</v>
      </c>
      <c r="G134" s="223" t="s">
        <v>259</v>
      </c>
      <c r="I134" s="208"/>
      <c r="P134" s="201"/>
    </row>
    <row r="135" spans="1:16" ht="31.5" customHeight="1" x14ac:dyDescent="0.3">
      <c r="A135" s="255"/>
      <c r="B135" s="255"/>
      <c r="C135" s="217">
        <v>1</v>
      </c>
      <c r="D135" s="337" t="s">
        <v>940</v>
      </c>
      <c r="E135" s="292"/>
      <c r="G135" s="93"/>
      <c r="P135" s="201"/>
    </row>
    <row r="136" spans="1:16" ht="31.5" customHeight="1" x14ac:dyDescent="0.3">
      <c r="A136" s="255"/>
      <c r="B136" s="255"/>
      <c r="C136" s="217">
        <v>2</v>
      </c>
      <c r="D136" s="337" t="s">
        <v>941</v>
      </c>
      <c r="E136" s="292"/>
      <c r="G136" s="93"/>
      <c r="P136" s="201"/>
    </row>
    <row r="137" spans="1:16" ht="31.5" customHeight="1" x14ac:dyDescent="0.3">
      <c r="A137" s="255"/>
      <c r="B137" s="255"/>
      <c r="C137" s="217">
        <v>3</v>
      </c>
      <c r="D137" s="337" t="s">
        <v>942</v>
      </c>
      <c r="E137" s="292"/>
      <c r="G137" s="93"/>
      <c r="P137" s="201"/>
    </row>
    <row r="138" spans="1:16" ht="31.5" customHeight="1" x14ac:dyDescent="0.3">
      <c r="A138" s="255"/>
      <c r="B138" s="255"/>
      <c r="C138" s="217">
        <v>4</v>
      </c>
      <c r="D138" s="337" t="s">
        <v>943</v>
      </c>
      <c r="E138" s="292"/>
      <c r="G138" s="93"/>
      <c r="P138" s="201"/>
    </row>
    <row r="139" spans="1:16" ht="19.5" thickBot="1" x14ac:dyDescent="0.35">
      <c r="A139" s="255"/>
      <c r="B139" s="255"/>
      <c r="C139" s="206" t="s">
        <v>103</v>
      </c>
      <c r="D139" s="207"/>
      <c r="E139" s="263">
        <f>E134</f>
        <v>4</v>
      </c>
      <c r="G139" s="93"/>
      <c r="P139" s="201"/>
    </row>
    <row r="140" spans="1:16" ht="19.5" thickBot="1" x14ac:dyDescent="0.35">
      <c r="A140" s="255"/>
      <c r="B140" s="255"/>
      <c r="C140" s="72"/>
      <c r="D140" s="72"/>
      <c r="E140" s="258"/>
      <c r="G140" s="93"/>
      <c r="P140" s="201"/>
    </row>
    <row r="141" spans="1:16" ht="81.75" customHeight="1" thickBot="1" x14ac:dyDescent="0.35">
      <c r="A141" s="255">
        <v>20</v>
      </c>
      <c r="B141" s="255">
        <v>3.4</v>
      </c>
      <c r="C141" s="659" t="s">
        <v>390</v>
      </c>
      <c r="D141" s="660"/>
      <c r="E141" s="261">
        <v>4</v>
      </c>
      <c r="G141" s="223" t="s">
        <v>260</v>
      </c>
      <c r="P141" s="201"/>
    </row>
    <row r="142" spans="1:16" ht="21" customHeight="1" x14ac:dyDescent="0.3">
      <c r="A142" s="255"/>
      <c r="B142" s="255"/>
      <c r="C142" s="217">
        <v>0</v>
      </c>
      <c r="D142" s="220" t="s">
        <v>391</v>
      </c>
      <c r="E142" s="292"/>
      <c r="G142" s="93"/>
      <c r="P142" s="201"/>
    </row>
    <row r="143" spans="1:16" ht="21" customHeight="1" x14ac:dyDescent="0.3">
      <c r="A143" s="255"/>
      <c r="B143" s="255"/>
      <c r="C143" s="217">
        <v>1</v>
      </c>
      <c r="D143" s="220" t="s">
        <v>392</v>
      </c>
      <c r="E143" s="292"/>
      <c r="G143" s="93"/>
      <c r="P143" s="201"/>
    </row>
    <row r="144" spans="1:16" ht="21" customHeight="1" x14ac:dyDescent="0.3">
      <c r="A144" s="255"/>
      <c r="B144" s="255"/>
      <c r="C144" s="217">
        <v>2</v>
      </c>
      <c r="D144" s="220" t="s">
        <v>393</v>
      </c>
      <c r="E144" s="292"/>
      <c r="G144" s="93"/>
      <c r="P144" s="201"/>
    </row>
    <row r="145" spans="1:16" ht="21" customHeight="1" x14ac:dyDescent="0.3">
      <c r="A145" s="255"/>
      <c r="B145" s="255"/>
      <c r="C145" s="217">
        <v>3</v>
      </c>
      <c r="D145" s="220" t="s">
        <v>394</v>
      </c>
      <c r="E145" s="292"/>
      <c r="G145" s="93"/>
      <c r="P145" s="201"/>
    </row>
    <row r="146" spans="1:16" ht="21" customHeight="1" x14ac:dyDescent="0.3">
      <c r="A146" s="255"/>
      <c r="B146" s="255"/>
      <c r="C146" s="217">
        <v>4</v>
      </c>
      <c r="D146" s="220" t="s">
        <v>395</v>
      </c>
      <c r="E146" s="292"/>
      <c r="G146" s="93"/>
      <c r="P146" s="201"/>
    </row>
    <row r="147" spans="1:16" ht="19.5" thickBot="1" x14ac:dyDescent="0.35">
      <c r="A147" s="255"/>
      <c r="B147" s="255"/>
      <c r="C147" s="645" t="s">
        <v>103</v>
      </c>
      <c r="D147" s="646"/>
      <c r="E147" s="263">
        <f>E141</f>
        <v>4</v>
      </c>
      <c r="G147" s="93"/>
      <c r="P147" s="201"/>
    </row>
    <row r="148" spans="1:16" ht="19.5" thickBot="1" x14ac:dyDescent="0.35">
      <c r="A148" s="255"/>
      <c r="B148" s="255"/>
      <c r="C148" s="72"/>
      <c r="D148" s="72"/>
      <c r="E148" s="258"/>
      <c r="G148" s="93"/>
      <c r="P148" s="201"/>
    </row>
    <row r="149" spans="1:16" ht="81.75" customHeight="1" thickBot="1" x14ac:dyDescent="0.35">
      <c r="A149" s="255">
        <v>21</v>
      </c>
      <c r="B149" s="255">
        <v>4.0999999999999996</v>
      </c>
      <c r="C149" s="659" t="s">
        <v>396</v>
      </c>
      <c r="D149" s="660"/>
      <c r="E149" s="261">
        <v>4</v>
      </c>
      <c r="G149" s="223" t="s">
        <v>397</v>
      </c>
      <c r="P149" s="201"/>
    </row>
    <row r="150" spans="1:16" ht="21" customHeight="1" x14ac:dyDescent="0.3">
      <c r="A150" s="255"/>
      <c r="B150" s="255"/>
      <c r="C150" s="217">
        <v>0</v>
      </c>
      <c r="D150" s="220" t="s">
        <v>398</v>
      </c>
      <c r="E150" s="292"/>
      <c r="G150" s="93"/>
      <c r="P150" s="201"/>
    </row>
    <row r="151" spans="1:16" ht="21" customHeight="1" x14ac:dyDescent="0.3">
      <c r="A151" s="255"/>
      <c r="B151" s="255"/>
      <c r="C151" s="217">
        <v>1</v>
      </c>
      <c r="D151" s="220" t="s">
        <v>399</v>
      </c>
      <c r="E151" s="292"/>
      <c r="G151" s="93"/>
      <c r="P151" s="201"/>
    </row>
    <row r="152" spans="1:16" ht="29.25" customHeight="1" x14ac:dyDescent="0.3">
      <c r="A152" s="255"/>
      <c r="B152" s="255"/>
      <c r="C152" s="217">
        <v>2</v>
      </c>
      <c r="D152" s="361" t="s">
        <v>1026</v>
      </c>
      <c r="E152" s="292"/>
      <c r="G152" s="93"/>
      <c r="P152" s="201"/>
    </row>
    <row r="153" spans="1:16" ht="31.5" customHeight="1" x14ac:dyDescent="0.3">
      <c r="A153" s="255"/>
      <c r="B153" s="255"/>
      <c r="C153" s="217">
        <v>3</v>
      </c>
      <c r="D153" s="361" t="s">
        <v>1027</v>
      </c>
      <c r="E153" s="292"/>
      <c r="G153" s="93"/>
      <c r="P153" s="201"/>
    </row>
    <row r="154" spans="1:16" ht="31.5" customHeight="1" x14ac:dyDescent="0.3">
      <c r="A154" s="255"/>
      <c r="B154" s="255"/>
      <c r="C154" s="217">
        <v>4</v>
      </c>
      <c r="D154" s="220" t="s">
        <v>401</v>
      </c>
      <c r="E154" s="292"/>
      <c r="G154" s="93"/>
      <c r="P154" s="201"/>
    </row>
    <row r="155" spans="1:16" ht="19.5" thickBot="1" x14ac:dyDescent="0.35">
      <c r="A155" s="255"/>
      <c r="B155" s="255"/>
      <c r="C155" s="645" t="s">
        <v>103</v>
      </c>
      <c r="D155" s="646"/>
      <c r="E155" s="263">
        <f>E149</f>
        <v>4</v>
      </c>
      <c r="G155" s="93"/>
      <c r="P155" s="201"/>
    </row>
    <row r="156" spans="1:16" ht="19.5" thickBot="1" x14ac:dyDescent="0.35">
      <c r="A156" s="255"/>
      <c r="B156" s="255"/>
      <c r="C156" s="72"/>
      <c r="D156" s="72"/>
      <c r="E156" s="258"/>
      <c r="G156" s="93"/>
      <c r="P156" s="201"/>
    </row>
    <row r="157" spans="1:16" ht="81.75" customHeight="1" thickBot="1" x14ac:dyDescent="0.35">
      <c r="A157" s="255">
        <v>22</v>
      </c>
      <c r="B157" s="255">
        <v>4.2</v>
      </c>
      <c r="C157" s="659" t="s">
        <v>403</v>
      </c>
      <c r="D157" s="660"/>
      <c r="E157" s="261">
        <v>4</v>
      </c>
      <c r="G157" s="223" t="s">
        <v>404</v>
      </c>
      <c r="P157" s="201"/>
    </row>
    <row r="158" spans="1:16" ht="21" customHeight="1" x14ac:dyDescent="0.3">
      <c r="A158" s="255"/>
      <c r="B158" s="255"/>
      <c r="C158" s="217">
        <v>0</v>
      </c>
      <c r="D158" s="220" t="s">
        <v>398</v>
      </c>
      <c r="E158" s="292"/>
      <c r="G158" s="93"/>
      <c r="P158" s="201"/>
    </row>
    <row r="159" spans="1:16" ht="21" customHeight="1" x14ac:dyDescent="0.3">
      <c r="A159" s="255"/>
      <c r="B159" s="255"/>
      <c r="C159" s="217">
        <v>1</v>
      </c>
      <c r="D159" s="220" t="s">
        <v>399</v>
      </c>
      <c r="E159" s="292"/>
      <c r="G159" s="93"/>
      <c r="P159" s="201"/>
    </row>
    <row r="160" spans="1:16" ht="21" customHeight="1" x14ac:dyDescent="0.3">
      <c r="A160" s="255"/>
      <c r="B160" s="255"/>
      <c r="C160" s="217">
        <v>2</v>
      </c>
      <c r="D160" s="220" t="s">
        <v>400</v>
      </c>
      <c r="E160" s="292"/>
      <c r="G160" s="93"/>
      <c r="P160" s="201"/>
    </row>
    <row r="161" spans="1:17" ht="31.5" customHeight="1" x14ac:dyDescent="0.3">
      <c r="A161" s="255"/>
      <c r="B161" s="255"/>
      <c r="C161" s="217">
        <v>3</v>
      </c>
      <c r="D161" s="220" t="s">
        <v>402</v>
      </c>
      <c r="E161" s="292"/>
      <c r="G161" s="93"/>
      <c r="P161" s="201"/>
    </row>
    <row r="162" spans="1:17" ht="31.5" customHeight="1" x14ac:dyDescent="0.3">
      <c r="A162" s="255"/>
      <c r="B162" s="255"/>
      <c r="C162" s="217">
        <v>4</v>
      </c>
      <c r="D162" s="220" t="s">
        <v>401</v>
      </c>
      <c r="E162" s="292"/>
      <c r="G162" s="93"/>
      <c r="P162" s="201"/>
    </row>
    <row r="163" spans="1:17" ht="19.5" thickBot="1" x14ac:dyDescent="0.35">
      <c r="A163" s="255"/>
      <c r="B163" s="255"/>
      <c r="C163" s="645" t="s">
        <v>103</v>
      </c>
      <c r="D163" s="646"/>
      <c r="E163" s="263">
        <f>E157</f>
        <v>4</v>
      </c>
      <c r="G163" s="93"/>
      <c r="P163" s="201"/>
    </row>
    <row r="164" spans="1:17" ht="19.5" thickBot="1" x14ac:dyDescent="0.35">
      <c r="A164" s="255"/>
      <c r="B164" s="255"/>
      <c r="C164" s="72"/>
      <c r="D164" s="72"/>
      <c r="E164" s="258"/>
      <c r="G164" s="93"/>
      <c r="P164" s="201"/>
    </row>
    <row r="165" spans="1:17" s="15" customFormat="1" ht="75" customHeight="1" thickBot="1" x14ac:dyDescent="0.35">
      <c r="A165" s="255">
        <v>23</v>
      </c>
      <c r="B165" s="259" t="s">
        <v>405</v>
      </c>
      <c r="C165" s="661" t="s">
        <v>416</v>
      </c>
      <c r="D165" s="672"/>
      <c r="E165" s="270"/>
      <c r="F165" s="30"/>
      <c r="G165" s="99" t="str">
        <f>IF(E166=0,"PS tidak memiliki program pendidikan konsultan. "&amp;C174&amp;" = "&amp;E174&amp;" orang. "&amp;C175&amp;" = "&amp;E175&amp;" orang. "&amp;"Persentasenya = "&amp;TEXT(E176,"0.00%."),"")&amp;IF(E166=1,"PS memiliki program pendidikan konsultan. "&amp;C168&amp;" = "&amp;E168&amp;". "&amp;C170&amp;" = "&amp;E170&amp;" orang. "&amp;C171&amp;" = "&amp;TEXT(E171,"0.00%. "),"")</f>
        <v xml:space="preserve">PS memiliki program pendidikan konsultan. Jumlah subdivisi = 20. Jumlah dosen di RS Pendidikan yang berpendidikan Sp.K = 30 orang. Persentase dosen di RS Pendidikan yang perpendidikan Sp.K terhadap (jumlah subdivisi x 2) = 75.00%. </v>
      </c>
      <c r="H165" s="228"/>
      <c r="I165" s="208"/>
      <c r="J165" s="30"/>
      <c r="K165" s="31"/>
      <c r="L165" s="30"/>
      <c r="M165" s="8"/>
      <c r="N165" s="229"/>
      <c r="O165" s="8"/>
      <c r="P165" s="8"/>
      <c r="Q165" s="8"/>
    </row>
    <row r="166" spans="1:17" s="15" customFormat="1" ht="44.25" customHeight="1" x14ac:dyDescent="0.3">
      <c r="A166" s="255"/>
      <c r="B166" s="255"/>
      <c r="C166" s="667" t="s">
        <v>406</v>
      </c>
      <c r="D166" s="668"/>
      <c r="E166" s="304">
        <v>1</v>
      </c>
      <c r="F166" s="30"/>
      <c r="G166" s="651"/>
      <c r="H166" s="34"/>
      <c r="I166" s="30"/>
      <c r="J166" s="30"/>
      <c r="K166" s="31"/>
      <c r="L166" s="30"/>
      <c r="M166" s="8"/>
      <c r="N166" s="229"/>
      <c r="O166" s="8"/>
      <c r="P166" s="8"/>
      <c r="Q166" s="8"/>
    </row>
    <row r="167" spans="1:17" s="15" customFormat="1" ht="17.25" customHeight="1" x14ac:dyDescent="0.3">
      <c r="A167" s="255"/>
      <c r="B167" s="255"/>
      <c r="C167" s="674" t="s">
        <v>407</v>
      </c>
      <c r="D167" s="675"/>
      <c r="E167" s="292"/>
      <c r="F167" s="30"/>
      <c r="G167" s="673"/>
      <c r="H167" s="34"/>
      <c r="I167" s="30"/>
      <c r="J167" s="30"/>
      <c r="K167" s="31"/>
      <c r="L167" s="30"/>
      <c r="M167" s="8"/>
      <c r="N167" s="229"/>
      <c r="O167" s="8"/>
      <c r="P167" s="8"/>
      <c r="Q167" s="8"/>
    </row>
    <row r="168" spans="1:17" s="15" customFormat="1" ht="19.5" customHeight="1" thickBot="1" x14ac:dyDescent="0.35">
      <c r="A168" s="255"/>
      <c r="B168" s="255"/>
      <c r="C168" s="667" t="s">
        <v>408</v>
      </c>
      <c r="D168" s="668"/>
      <c r="E168" s="304">
        <v>20</v>
      </c>
      <c r="F168" s="30"/>
      <c r="G168" s="652"/>
      <c r="H168" s="34"/>
      <c r="I168" s="30"/>
      <c r="J168" s="30"/>
      <c r="K168" s="31"/>
      <c r="L168" s="30"/>
      <c r="M168" s="8"/>
      <c r="N168" s="229"/>
      <c r="O168" s="8"/>
      <c r="P168" s="8"/>
      <c r="Q168" s="8"/>
    </row>
    <row r="169" spans="1:17" s="15" customFormat="1" ht="19.5" customHeight="1" x14ac:dyDescent="0.3">
      <c r="A169" s="255"/>
      <c r="B169" s="255"/>
      <c r="C169" s="667" t="s">
        <v>410</v>
      </c>
      <c r="D169" s="668"/>
      <c r="E169" s="305">
        <f>E168*2</f>
        <v>40</v>
      </c>
      <c r="F169" s="30"/>
      <c r="G169" s="232"/>
      <c r="H169" s="34"/>
      <c r="I169" s="30"/>
      <c r="J169" s="30"/>
      <c r="K169" s="31"/>
      <c r="L169" s="30"/>
      <c r="M169" s="8"/>
      <c r="N169" s="229"/>
      <c r="O169" s="8"/>
      <c r="P169" s="8"/>
      <c r="Q169" s="8"/>
    </row>
    <row r="170" spans="1:17" s="15" customFormat="1" ht="19.5" customHeight="1" x14ac:dyDescent="0.3">
      <c r="A170" s="255"/>
      <c r="B170" s="255"/>
      <c r="C170" s="667" t="s">
        <v>412</v>
      </c>
      <c r="D170" s="668"/>
      <c r="E170" s="304">
        <v>30</v>
      </c>
      <c r="F170" s="30"/>
      <c r="G170" s="232"/>
      <c r="H170" s="34"/>
      <c r="I170" s="30"/>
      <c r="J170" s="30"/>
      <c r="K170" s="31"/>
      <c r="L170" s="30"/>
      <c r="M170" s="8"/>
      <c r="N170" s="229"/>
      <c r="O170" s="8"/>
      <c r="P170" s="8"/>
      <c r="Q170" s="8"/>
    </row>
    <row r="171" spans="1:17" s="15" customFormat="1" ht="31.5" customHeight="1" x14ac:dyDescent="0.3">
      <c r="A171" s="255"/>
      <c r="B171" s="255"/>
      <c r="C171" s="667" t="s">
        <v>413</v>
      </c>
      <c r="D171" s="668"/>
      <c r="E171" s="295">
        <f>E170/E169</f>
        <v>0.75</v>
      </c>
      <c r="F171" s="224"/>
      <c r="G171" s="232"/>
      <c r="H171" s="34"/>
      <c r="I171" s="30"/>
      <c r="J171" s="30"/>
      <c r="K171" s="31"/>
      <c r="L171" s="30"/>
      <c r="M171" s="8"/>
      <c r="N171" s="229"/>
      <c r="O171" s="8"/>
      <c r="P171" s="8"/>
      <c r="Q171" s="8"/>
    </row>
    <row r="172" spans="1:17" s="15" customFormat="1" ht="24" customHeight="1" x14ac:dyDescent="0.3">
      <c r="A172" s="255"/>
      <c r="B172" s="255"/>
      <c r="C172" s="667" t="s">
        <v>414</v>
      </c>
      <c r="D172" s="668"/>
      <c r="E172" s="296">
        <f>IF(E171=0%,0,IF(E171&lt;75%,16*E171/3,4))</f>
        <v>4</v>
      </c>
      <c r="F172" s="224"/>
      <c r="G172" s="232"/>
      <c r="H172" s="34"/>
      <c r="I172" s="30"/>
      <c r="J172" s="30"/>
      <c r="K172" s="31"/>
      <c r="L172" s="30"/>
      <c r="M172" s="8"/>
      <c r="N172" s="229"/>
      <c r="O172" s="8"/>
      <c r="P172" s="8"/>
      <c r="Q172" s="8"/>
    </row>
    <row r="173" spans="1:17" s="15" customFormat="1" ht="31.5" customHeight="1" x14ac:dyDescent="0.3">
      <c r="A173" s="255"/>
      <c r="B173" s="255"/>
      <c r="C173" s="674" t="s">
        <v>411</v>
      </c>
      <c r="D173" s="675"/>
      <c r="E173" s="292"/>
      <c r="F173" s="224"/>
      <c r="G173" s="232"/>
      <c r="H173" s="34"/>
      <c r="I173" s="30"/>
      <c r="J173" s="30"/>
      <c r="K173" s="31"/>
      <c r="L173" s="30"/>
      <c r="M173" s="8"/>
      <c r="N173" s="229"/>
      <c r="O173" s="8"/>
      <c r="P173" s="8"/>
      <c r="Q173" s="8"/>
    </row>
    <row r="174" spans="1:17" s="15" customFormat="1" ht="19.5" customHeight="1" x14ac:dyDescent="0.3">
      <c r="A174" s="255"/>
      <c r="B174" s="255"/>
      <c r="C174" s="667" t="s">
        <v>409</v>
      </c>
      <c r="D174" s="668"/>
      <c r="E174" s="304">
        <v>40</v>
      </c>
      <c r="F174" s="224"/>
      <c r="G174" s="232"/>
      <c r="H174" s="34"/>
      <c r="I174" s="30"/>
      <c r="J174" s="30"/>
      <c r="K174" s="31"/>
      <c r="L174" s="30"/>
      <c r="M174" s="8"/>
      <c r="N174" s="229"/>
      <c r="O174" s="8"/>
      <c r="P174" s="8"/>
      <c r="Q174" s="8"/>
    </row>
    <row r="175" spans="1:17" s="15" customFormat="1" ht="19.5" customHeight="1" x14ac:dyDescent="0.3">
      <c r="A175" s="255"/>
      <c r="B175" s="255"/>
      <c r="C175" s="667" t="s">
        <v>417</v>
      </c>
      <c r="D175" s="668"/>
      <c r="E175" s="304">
        <v>15</v>
      </c>
      <c r="F175" s="224"/>
      <c r="G175" s="232"/>
      <c r="H175" s="34"/>
      <c r="I175" s="30"/>
      <c r="J175" s="30"/>
      <c r="K175" s="31"/>
      <c r="L175" s="30"/>
      <c r="M175" s="8"/>
      <c r="N175" s="229"/>
      <c r="O175" s="8"/>
      <c r="P175" s="8"/>
      <c r="Q175" s="8"/>
    </row>
    <row r="176" spans="1:17" s="15" customFormat="1" ht="19.5" customHeight="1" x14ac:dyDescent="0.3">
      <c r="A176" s="255"/>
      <c r="B176" s="255"/>
      <c r="C176" s="667" t="s">
        <v>418</v>
      </c>
      <c r="D176" s="668"/>
      <c r="E176" s="269">
        <f>E175/E174</f>
        <v>0.375</v>
      </c>
      <c r="F176" s="224"/>
      <c r="G176" s="232"/>
      <c r="H176" s="34"/>
      <c r="I176" s="30"/>
      <c r="J176" s="30"/>
      <c r="K176" s="31"/>
      <c r="L176" s="30"/>
      <c r="M176" s="8"/>
      <c r="N176" s="229"/>
      <c r="O176" s="8"/>
      <c r="P176" s="8"/>
      <c r="Q176" s="8"/>
    </row>
    <row r="177" spans="1:17" s="15" customFormat="1" ht="19.5" customHeight="1" x14ac:dyDescent="0.3">
      <c r="A177" s="255"/>
      <c r="B177" s="255"/>
      <c r="C177" s="667" t="s">
        <v>415</v>
      </c>
      <c r="D177" s="668"/>
      <c r="E177" s="296">
        <f>IF(E176=0%,0,IF(E176&lt;75%,16*E176/3,4))</f>
        <v>2</v>
      </c>
      <c r="F177" s="224"/>
      <c r="G177" s="232"/>
      <c r="H177" s="34"/>
      <c r="I177" s="30"/>
      <c r="J177" s="30"/>
      <c r="K177" s="31"/>
      <c r="L177" s="30"/>
      <c r="M177" s="8"/>
      <c r="N177" s="229"/>
      <c r="O177" s="8"/>
      <c r="P177" s="8"/>
      <c r="Q177" s="8"/>
    </row>
    <row r="178" spans="1:17" s="15" customFormat="1" ht="19.5" thickBot="1" x14ac:dyDescent="0.35">
      <c r="A178" s="255"/>
      <c r="B178" s="255"/>
      <c r="C178" s="653" t="s">
        <v>103</v>
      </c>
      <c r="D178" s="654"/>
      <c r="E178" s="297">
        <f>IF(E166=0,E177,E172)</f>
        <v>4</v>
      </c>
      <c r="F178" s="30"/>
      <c r="G178" s="93"/>
      <c r="H178" s="34"/>
      <c r="I178" s="30"/>
      <c r="J178" s="30"/>
      <c r="K178" s="31"/>
      <c r="L178" s="30"/>
      <c r="M178" s="8"/>
      <c r="N178" s="229"/>
      <c r="O178" s="8"/>
      <c r="P178" s="8"/>
      <c r="Q178" s="8"/>
    </row>
    <row r="179" spans="1:17" ht="19.5" thickBot="1" x14ac:dyDescent="0.35">
      <c r="A179" s="255"/>
      <c r="B179" s="255"/>
      <c r="C179" s="72"/>
      <c r="D179" s="72"/>
      <c r="E179" s="258"/>
      <c r="G179" s="93"/>
      <c r="P179" s="201"/>
    </row>
    <row r="180" spans="1:17" ht="81.75" customHeight="1" thickBot="1" x14ac:dyDescent="0.35">
      <c r="A180" s="255">
        <v>24</v>
      </c>
      <c r="B180" s="255" t="s">
        <v>419</v>
      </c>
      <c r="C180" s="659" t="s">
        <v>420</v>
      </c>
      <c r="D180" s="660"/>
      <c r="E180" s="261">
        <v>4</v>
      </c>
      <c r="G180" s="223" t="s">
        <v>425</v>
      </c>
      <c r="P180" s="201"/>
    </row>
    <row r="181" spans="1:17" ht="18.75" customHeight="1" x14ac:dyDescent="0.3">
      <c r="A181" s="255"/>
      <c r="B181" s="255"/>
      <c r="C181" s="217">
        <v>0</v>
      </c>
      <c r="D181" s="220" t="s">
        <v>424</v>
      </c>
      <c r="E181" s="292"/>
      <c r="G181" s="93"/>
      <c r="P181" s="201"/>
    </row>
    <row r="182" spans="1:17" ht="18.75" customHeight="1" x14ac:dyDescent="0.3">
      <c r="A182" s="255"/>
      <c r="B182" s="255"/>
      <c r="C182" s="217">
        <v>1</v>
      </c>
      <c r="D182" s="220" t="s">
        <v>426</v>
      </c>
      <c r="E182" s="292"/>
      <c r="G182" s="93"/>
      <c r="P182" s="201"/>
    </row>
    <row r="183" spans="1:17" ht="18.75" customHeight="1" x14ac:dyDescent="0.3">
      <c r="A183" s="255"/>
      <c r="B183" s="255"/>
      <c r="C183" s="217">
        <v>2</v>
      </c>
      <c r="D183" s="220" t="s">
        <v>421</v>
      </c>
      <c r="E183" s="292"/>
      <c r="G183" s="93"/>
      <c r="P183" s="201"/>
    </row>
    <row r="184" spans="1:17" ht="18.75" customHeight="1" x14ac:dyDescent="0.3">
      <c r="A184" s="255"/>
      <c r="B184" s="255"/>
      <c r="C184" s="217">
        <v>3</v>
      </c>
      <c r="D184" s="220" t="s">
        <v>422</v>
      </c>
      <c r="E184" s="292"/>
      <c r="G184" s="93"/>
      <c r="P184" s="201"/>
    </row>
    <row r="185" spans="1:17" ht="18.75" customHeight="1" x14ac:dyDescent="0.3">
      <c r="A185" s="255"/>
      <c r="B185" s="255"/>
      <c r="C185" s="217">
        <v>4</v>
      </c>
      <c r="D185" s="220" t="s">
        <v>423</v>
      </c>
      <c r="E185" s="292"/>
      <c r="G185" s="93"/>
      <c r="P185" s="201"/>
    </row>
    <row r="186" spans="1:17" ht="19.5" thickBot="1" x14ac:dyDescent="0.35">
      <c r="A186" s="255"/>
      <c r="B186" s="255"/>
      <c r="C186" s="645" t="s">
        <v>103</v>
      </c>
      <c r="D186" s="646"/>
      <c r="E186" s="263">
        <f>E180</f>
        <v>4</v>
      </c>
      <c r="G186" s="93"/>
      <c r="P186" s="201"/>
    </row>
    <row r="187" spans="1:17" ht="19.5" thickBot="1" x14ac:dyDescent="0.35">
      <c r="A187" s="255"/>
      <c r="B187" s="255"/>
      <c r="C187" s="72"/>
      <c r="D187" s="72"/>
      <c r="E187" s="258"/>
      <c r="G187" s="93"/>
      <c r="P187" s="201"/>
    </row>
    <row r="188" spans="1:17" s="15" customFormat="1" ht="39" customHeight="1" thickBot="1" x14ac:dyDescent="0.35">
      <c r="A188" s="255">
        <v>25</v>
      </c>
      <c r="B188" s="259" t="s">
        <v>680</v>
      </c>
      <c r="C188" s="647" t="s">
        <v>684</v>
      </c>
      <c r="D188" s="648"/>
      <c r="E188" s="298"/>
      <c r="F188" s="30"/>
      <c r="G188" s="99" t="str">
        <f>IF(E189=0,"Program studi tidak memiliki dosen tetap.",D191&amp;" = ("&amp;E190&amp;"/"&amp;E189&amp;") x 100% = "&amp;TEXT(E191,"0.00%."))</f>
        <v>Persentase dosen yang memiliki sertifikasi pendidik = (25/40) x 100% = 62.50%.</v>
      </c>
      <c r="H188" s="228"/>
      <c r="I188" s="30"/>
      <c r="J188" s="30"/>
      <c r="K188" s="31"/>
      <c r="L188" s="30"/>
      <c r="M188" s="8"/>
      <c r="N188" s="229"/>
      <c r="O188" s="8"/>
      <c r="P188" s="8"/>
      <c r="Q188" s="8"/>
    </row>
    <row r="189" spans="1:17" s="15" customFormat="1" ht="17.25" customHeight="1" x14ac:dyDescent="0.3">
      <c r="A189" s="255"/>
      <c r="B189" s="255"/>
      <c r="C189" s="649" t="s">
        <v>452</v>
      </c>
      <c r="D189" s="650"/>
      <c r="E189" s="304">
        <v>40</v>
      </c>
      <c r="F189" s="30"/>
      <c r="G189" s="651"/>
      <c r="H189" s="34"/>
      <c r="I189" s="30"/>
      <c r="J189" s="30"/>
      <c r="K189" s="31"/>
      <c r="L189" s="30"/>
      <c r="M189" s="8"/>
      <c r="N189" s="229"/>
      <c r="O189" s="8"/>
      <c r="P189" s="8"/>
      <c r="Q189" s="8"/>
    </row>
    <row r="190" spans="1:17" s="15" customFormat="1" ht="28.5" customHeight="1" thickBot="1" x14ac:dyDescent="0.35">
      <c r="A190" s="255"/>
      <c r="B190" s="255"/>
      <c r="C190" s="649" t="s">
        <v>685</v>
      </c>
      <c r="D190" s="650"/>
      <c r="E190" s="304">
        <v>25</v>
      </c>
      <c r="F190" s="30"/>
      <c r="G190" s="652"/>
      <c r="H190" s="34"/>
      <c r="I190" s="30"/>
      <c r="J190" s="30"/>
      <c r="K190" s="31"/>
      <c r="L190" s="30"/>
      <c r="M190" s="8"/>
      <c r="N190" s="229"/>
      <c r="O190" s="8"/>
      <c r="P190" s="8"/>
      <c r="Q190" s="8"/>
    </row>
    <row r="191" spans="1:17" s="15" customFormat="1" ht="21.75" customHeight="1" x14ac:dyDescent="0.3">
      <c r="A191" s="255"/>
      <c r="B191" s="255"/>
      <c r="C191" s="230" t="s">
        <v>681</v>
      </c>
      <c r="D191" s="231" t="s">
        <v>682</v>
      </c>
      <c r="E191" s="299">
        <f>IF(E189=0,0,E190/E189)</f>
        <v>0.625</v>
      </c>
      <c r="F191" s="224"/>
      <c r="G191" s="232"/>
      <c r="H191" s="34"/>
      <c r="I191" s="30"/>
      <c r="J191" s="30"/>
      <c r="K191" s="31"/>
      <c r="L191" s="30"/>
      <c r="M191" s="8"/>
      <c r="N191" s="229"/>
      <c r="O191" s="8"/>
      <c r="P191" s="8"/>
      <c r="Q191" s="8"/>
    </row>
    <row r="192" spans="1:17" s="15" customFormat="1" ht="19.5" thickBot="1" x14ac:dyDescent="0.35">
      <c r="A192" s="255"/>
      <c r="B192" s="255"/>
      <c r="C192" s="653" t="s">
        <v>103</v>
      </c>
      <c r="D192" s="654"/>
      <c r="E192" s="297">
        <f>IF(E191&gt;=40%,4,10*E191)</f>
        <v>4</v>
      </c>
      <c r="F192" s="30"/>
      <c r="G192" s="93"/>
      <c r="H192" s="34"/>
      <c r="I192" s="30"/>
      <c r="J192" s="30"/>
      <c r="K192" s="31"/>
      <c r="L192" s="30"/>
      <c r="M192" s="8"/>
      <c r="N192" s="229"/>
      <c r="O192" s="8"/>
      <c r="P192" s="8"/>
      <c r="Q192" s="8"/>
    </row>
    <row r="193" spans="1:17" ht="19.5" thickBot="1" x14ac:dyDescent="0.35">
      <c r="A193" s="255"/>
      <c r="B193" s="255"/>
      <c r="C193" s="72"/>
      <c r="D193" s="72"/>
      <c r="E193" s="258"/>
      <c r="G193" s="93"/>
      <c r="P193" s="201"/>
    </row>
    <row r="194" spans="1:17" s="15" customFormat="1" ht="103.5" customHeight="1" thickBot="1" x14ac:dyDescent="0.35">
      <c r="A194" s="255">
        <v>26</v>
      </c>
      <c r="B194" s="259" t="s">
        <v>427</v>
      </c>
      <c r="C194" s="647" t="s">
        <v>1032</v>
      </c>
      <c r="D194" s="648"/>
      <c r="E194" s="298"/>
      <c r="F194" s="30"/>
      <c r="G194" s="99" t="str">
        <f>IF(E195=0,"program studi tidak memiliki dosen tetap.",D197&amp;" = ("&amp;E196&amp;"/"&amp;E195&amp;") = "&amp;TEXT(E197,"0.00."))</f>
        <v>Rasio peserta didik terhadap dosen yang bidang keahliannya sesuai dengan bidang PS = (50/20) = 2.50.</v>
      </c>
      <c r="H194" s="228"/>
      <c r="I194" s="30"/>
      <c r="J194" s="30"/>
      <c r="K194" s="31"/>
      <c r="L194" s="30"/>
      <c r="M194" s="8"/>
      <c r="N194" s="229"/>
      <c r="O194" s="8"/>
      <c r="P194" s="8"/>
      <c r="Q194" s="8"/>
    </row>
    <row r="195" spans="1:17" s="15" customFormat="1" ht="16.5" customHeight="1" x14ac:dyDescent="0.3">
      <c r="A195" s="255"/>
      <c r="B195" s="255"/>
      <c r="C195" s="649" t="s">
        <v>428</v>
      </c>
      <c r="D195" s="650"/>
      <c r="E195" s="304">
        <v>20</v>
      </c>
      <c r="F195" s="30"/>
      <c r="G195" s="651"/>
      <c r="H195" s="34"/>
      <c r="I195" s="30"/>
      <c r="J195" s="30"/>
      <c r="K195" s="31"/>
      <c r="L195" s="30"/>
      <c r="M195" s="8"/>
      <c r="N195" s="229"/>
      <c r="O195" s="8"/>
      <c r="P195" s="8"/>
      <c r="Q195" s="8"/>
    </row>
    <row r="196" spans="1:17" s="15" customFormat="1" ht="16.5" customHeight="1" thickBot="1" x14ac:dyDescent="0.35">
      <c r="A196" s="255"/>
      <c r="B196" s="255"/>
      <c r="C196" s="649" t="s">
        <v>429</v>
      </c>
      <c r="D196" s="650"/>
      <c r="E196" s="304">
        <v>50</v>
      </c>
      <c r="F196" s="30"/>
      <c r="G196" s="652"/>
      <c r="H196" s="34"/>
      <c r="I196" s="30"/>
      <c r="J196" s="30"/>
      <c r="K196" s="31"/>
      <c r="L196" s="30"/>
      <c r="M196" s="8"/>
      <c r="N196" s="229"/>
      <c r="O196" s="8"/>
      <c r="P196" s="8"/>
      <c r="Q196" s="8"/>
    </row>
    <row r="197" spans="1:17" s="15" customFormat="1" ht="31.5" customHeight="1" x14ac:dyDescent="0.3">
      <c r="A197" s="255"/>
      <c r="B197" s="255"/>
      <c r="C197" s="230" t="s">
        <v>430</v>
      </c>
      <c r="D197" s="231" t="s">
        <v>431</v>
      </c>
      <c r="E197" s="300">
        <f>IF(E195=0,0,E196/E195)</f>
        <v>2.5</v>
      </c>
      <c r="F197" s="224"/>
      <c r="G197" s="232"/>
      <c r="H197" s="34"/>
      <c r="I197" s="30"/>
      <c r="J197" s="30"/>
      <c r="K197" s="31"/>
      <c r="L197" s="30"/>
      <c r="M197" s="8"/>
      <c r="N197" s="229"/>
      <c r="O197" s="8"/>
      <c r="P197" s="8"/>
      <c r="Q197" s="8"/>
    </row>
    <row r="198" spans="1:17" s="15" customFormat="1" ht="19.5" thickBot="1" x14ac:dyDescent="0.35">
      <c r="A198" s="255"/>
      <c r="B198" s="255"/>
      <c r="C198" s="653" t="s">
        <v>103</v>
      </c>
      <c r="D198" s="654"/>
      <c r="E198" s="297">
        <f>IF(E197&lt;=3,4,IF(E197&lt;10,(40-4*E197)/7,0))</f>
        <v>4</v>
      </c>
      <c r="F198" s="30"/>
      <c r="G198" s="93"/>
      <c r="H198" s="34"/>
      <c r="I198" s="30"/>
      <c r="J198" s="30"/>
      <c r="K198" s="31"/>
      <c r="L198" s="30"/>
      <c r="M198" s="8"/>
      <c r="N198" s="229"/>
      <c r="O198" s="8"/>
      <c r="P198" s="8"/>
      <c r="Q198" s="8"/>
    </row>
    <row r="199" spans="1:17" ht="19.5" thickBot="1" x14ac:dyDescent="0.35">
      <c r="A199" s="255"/>
      <c r="B199" s="255"/>
      <c r="C199" s="72"/>
      <c r="D199" s="72"/>
      <c r="E199" s="258"/>
      <c r="G199" s="93"/>
      <c r="P199" s="201"/>
    </row>
    <row r="200" spans="1:17" ht="71.25" customHeight="1" thickBot="1" x14ac:dyDescent="0.35">
      <c r="A200" s="255">
        <v>27</v>
      </c>
      <c r="B200" s="255" t="s">
        <v>432</v>
      </c>
      <c r="C200" s="659" t="s">
        <v>436</v>
      </c>
      <c r="D200" s="660"/>
      <c r="E200" s="265"/>
      <c r="G200" s="99" t="str">
        <f>IF(SUM(E201:E203)=0,"Belum ada lulusan. ", "")&amp;IF(E201=0,"",D201&amp;" = "&amp;E201&amp;" orang. ")&amp;IF(E202=0,"",D202&amp;" = "&amp;E202&amp;" orang. ")&amp;IF(E203=0,"",D203&amp;" = "&amp;E203&amp;" orang. ")&amp;IF(E204=0,"",D204&amp;" = "&amp;E204&amp;" orang. ")</f>
        <v xml:space="preserve">Jumlah dosen di RS Pendidikan: Sp (&lt; 5th)  = 15 orang. Jumlah dosen di RS Pendidikan: Sp (5 -10th) = 8 orang. Jumlah dosen di RS Pendidikan: Sp(&gt; 10th) = 10 orang. Jumlah dosen di RS Pendidikan: Sp.K = 6 orang. </v>
      </c>
      <c r="P200" s="201"/>
    </row>
    <row r="201" spans="1:17" ht="15.75" customHeight="1" x14ac:dyDescent="0.3">
      <c r="A201" s="255"/>
      <c r="B201" s="255"/>
      <c r="C201" s="221" t="s">
        <v>368</v>
      </c>
      <c r="D201" s="210" t="s">
        <v>437</v>
      </c>
      <c r="E201" s="266">
        <v>15</v>
      </c>
      <c r="G201" s="651"/>
      <c r="P201" s="201"/>
    </row>
    <row r="202" spans="1:17" ht="15.75" customHeight="1" thickBot="1" x14ac:dyDescent="0.35">
      <c r="A202" s="255"/>
      <c r="B202" s="255"/>
      <c r="C202" s="221" t="s">
        <v>369</v>
      </c>
      <c r="D202" s="210" t="s">
        <v>438</v>
      </c>
      <c r="E202" s="266">
        <v>8</v>
      </c>
      <c r="G202" s="652"/>
      <c r="P202" s="201"/>
    </row>
    <row r="203" spans="1:17" ht="15.75" customHeight="1" x14ac:dyDescent="0.3">
      <c r="A203" s="255"/>
      <c r="B203" s="255"/>
      <c r="C203" s="221" t="s">
        <v>370</v>
      </c>
      <c r="D203" s="210" t="s">
        <v>439</v>
      </c>
      <c r="E203" s="266">
        <v>10</v>
      </c>
      <c r="P203" s="201"/>
    </row>
    <row r="204" spans="1:17" ht="15.75" customHeight="1" x14ac:dyDescent="0.3">
      <c r="A204" s="255"/>
      <c r="B204" s="255"/>
      <c r="C204" s="221" t="s">
        <v>433</v>
      </c>
      <c r="D204" s="210" t="s">
        <v>440</v>
      </c>
      <c r="E204" s="266">
        <v>6</v>
      </c>
      <c r="P204" s="201"/>
    </row>
    <row r="205" spans="1:17" ht="18.75" x14ac:dyDescent="0.3">
      <c r="A205" s="255"/>
      <c r="B205" s="255"/>
      <c r="C205" s="71" t="s">
        <v>109</v>
      </c>
      <c r="D205" s="101" t="s">
        <v>434</v>
      </c>
      <c r="E205" s="267">
        <f>SUM(E201:E204)</f>
        <v>39</v>
      </c>
      <c r="P205" s="201"/>
    </row>
    <row r="206" spans="1:17" ht="18.75" x14ac:dyDescent="0.3">
      <c r="A206" s="255"/>
      <c r="B206" s="255"/>
      <c r="C206" s="71" t="s">
        <v>372</v>
      </c>
      <c r="D206" s="222" t="s">
        <v>435</v>
      </c>
      <c r="E206" s="267">
        <f>(E201+2*E202+3*E203+4*E204)/E205</f>
        <v>2.1794871794871793</v>
      </c>
      <c r="P206" s="201"/>
    </row>
    <row r="207" spans="1:17" ht="19.5" thickBot="1" x14ac:dyDescent="0.35">
      <c r="A207" s="255"/>
      <c r="B207" s="255"/>
      <c r="C207" s="653" t="s">
        <v>103</v>
      </c>
      <c r="D207" s="654"/>
      <c r="E207" s="263">
        <f>E206</f>
        <v>2.1794871794871793</v>
      </c>
      <c r="P207" s="201"/>
    </row>
    <row r="208" spans="1:17" ht="19.5" thickBot="1" x14ac:dyDescent="0.35">
      <c r="A208" s="255"/>
      <c r="B208" s="255"/>
      <c r="C208" s="72"/>
      <c r="D208" s="72"/>
      <c r="E208" s="258"/>
      <c r="G208" s="93"/>
      <c r="P208" s="201"/>
    </row>
    <row r="209" spans="1:17" s="15" customFormat="1" ht="59.25" customHeight="1" thickBot="1" x14ac:dyDescent="0.35">
      <c r="A209" s="255">
        <v>28</v>
      </c>
      <c r="B209" s="259" t="s">
        <v>11</v>
      </c>
      <c r="C209" s="661" t="s">
        <v>443</v>
      </c>
      <c r="D209" s="672"/>
      <c r="E209" s="270"/>
      <c r="F209" s="30"/>
      <c r="G209" s="99" t="str">
        <f>D210&amp;" = "&amp;E210&amp;" jam. "</f>
        <v xml:space="preserve">Rata-rata beban kerja dosen di RS Pendidikan (Utama, Afiliasi dan Satelit) per tahun (dalam jam) = 1276 jam. </v>
      </c>
      <c r="H209" s="228"/>
      <c r="I209" s="208"/>
      <c r="J209" s="30"/>
      <c r="K209" s="31"/>
      <c r="L209" s="30"/>
      <c r="M209" s="8"/>
      <c r="N209" s="229"/>
      <c r="O209" s="8"/>
      <c r="P209" s="8"/>
      <c r="Q209" s="8"/>
    </row>
    <row r="210" spans="1:17" s="15" customFormat="1" ht="31.5" customHeight="1" x14ac:dyDescent="0.3">
      <c r="A210" s="255"/>
      <c r="B210" s="255"/>
      <c r="C210" s="217" t="s">
        <v>442</v>
      </c>
      <c r="D210" s="231" t="s">
        <v>441</v>
      </c>
      <c r="E210" s="304">
        <v>1276</v>
      </c>
      <c r="F210" s="30"/>
      <c r="G210" s="651"/>
      <c r="H210" s="34"/>
      <c r="I210" s="30"/>
      <c r="J210" s="30"/>
      <c r="K210" s="31"/>
      <c r="L210" s="30"/>
      <c r="M210" s="8"/>
      <c r="N210" s="229"/>
      <c r="O210" s="8"/>
      <c r="P210" s="8"/>
      <c r="Q210" s="8"/>
    </row>
    <row r="211" spans="1:17" s="15" customFormat="1" ht="19.5" thickBot="1" x14ac:dyDescent="0.35">
      <c r="A211" s="255"/>
      <c r="B211" s="255"/>
      <c r="C211" s="653" t="s">
        <v>103</v>
      </c>
      <c r="D211" s="654"/>
      <c r="E211" s="297">
        <f>IF(E210&lt;=576,0,IF(E210&lt;1088,(E210-576)/128,IF(E210&lt;=1216,4,IF(E210&lt;1728,13.5-E210/128,0))))</f>
        <v>3.53125</v>
      </c>
      <c r="F211" s="30"/>
      <c r="G211" s="652"/>
      <c r="H211" s="34"/>
      <c r="I211" s="30"/>
      <c r="J211" s="30"/>
      <c r="K211" s="31"/>
      <c r="L211" s="30"/>
      <c r="M211" s="8"/>
      <c r="N211" s="229"/>
      <c r="O211" s="8"/>
      <c r="P211" s="8"/>
      <c r="Q211" s="8"/>
    </row>
    <row r="212" spans="1:17" ht="19.5" thickBot="1" x14ac:dyDescent="0.35">
      <c r="A212" s="255"/>
      <c r="B212" s="255"/>
      <c r="C212" s="72"/>
      <c r="D212" s="72"/>
      <c r="E212" s="258"/>
      <c r="G212" s="93"/>
      <c r="P212" s="201"/>
    </row>
    <row r="213" spans="1:17" s="15" customFormat="1" ht="56.25" customHeight="1" thickBot="1" x14ac:dyDescent="0.35">
      <c r="A213" s="255">
        <v>29</v>
      </c>
      <c r="B213" s="259" t="s">
        <v>12</v>
      </c>
      <c r="C213" s="647" t="s">
        <v>448</v>
      </c>
      <c r="D213" s="648"/>
      <c r="E213" s="298"/>
      <c r="F213" s="30"/>
      <c r="G213" s="99" t="str">
        <f>IF(E214=0,"program studi tidak memiliki dosen tetap.",D216&amp;" = ("&amp;E215&amp;"/"&amp;E214&amp;") x 100% = "&amp;TEXT(E216,"0.00%."))</f>
        <v>Persentase realisasi aktivitas dosen di RS Pendidikan (Utama, Afiliasi dan Satelit) dalam pendidikan terhadap jumlah aktivitas yang direncanakan = (95/100) x 100% = 95.00%.</v>
      </c>
      <c r="H213" s="228"/>
      <c r="I213" s="30"/>
      <c r="J213" s="30"/>
      <c r="K213" s="31"/>
      <c r="L213" s="30"/>
      <c r="M213" s="8"/>
      <c r="N213" s="229"/>
      <c r="O213" s="8"/>
      <c r="P213" s="8"/>
      <c r="Q213" s="8"/>
    </row>
    <row r="214" spans="1:17" s="15" customFormat="1" ht="17.25" customHeight="1" x14ac:dyDescent="0.3">
      <c r="A214" s="255"/>
      <c r="B214" s="255"/>
      <c r="C214" s="649" t="s">
        <v>444</v>
      </c>
      <c r="D214" s="650"/>
      <c r="E214" s="304">
        <v>100</v>
      </c>
      <c r="F214" s="30"/>
      <c r="G214" s="651"/>
      <c r="H214" s="34"/>
      <c r="I214" s="30"/>
      <c r="J214" s="30"/>
      <c r="K214" s="31"/>
      <c r="L214" s="30"/>
      <c r="M214" s="8"/>
      <c r="N214" s="229"/>
      <c r="O214" s="8"/>
      <c r="P214" s="8"/>
      <c r="Q214" s="8"/>
    </row>
    <row r="215" spans="1:17" s="15" customFormat="1" ht="29.25" customHeight="1" thickBot="1" x14ac:dyDescent="0.35">
      <c r="A215" s="255"/>
      <c r="B215" s="255"/>
      <c r="C215" s="649" t="s">
        <v>445</v>
      </c>
      <c r="D215" s="650"/>
      <c r="E215" s="304">
        <v>95</v>
      </c>
      <c r="F215" s="30"/>
      <c r="G215" s="652"/>
      <c r="H215" s="34"/>
      <c r="I215" s="30"/>
      <c r="J215" s="30"/>
      <c r="K215" s="31"/>
      <c r="L215" s="30"/>
      <c r="M215" s="8"/>
      <c r="N215" s="229"/>
      <c r="O215" s="8"/>
      <c r="P215" s="8"/>
      <c r="Q215" s="8"/>
    </row>
    <row r="216" spans="1:17" s="15" customFormat="1" ht="43.5" customHeight="1" x14ac:dyDescent="0.3">
      <c r="A216" s="255"/>
      <c r="B216" s="255"/>
      <c r="C216" s="230" t="s">
        <v>447</v>
      </c>
      <c r="D216" s="231" t="s">
        <v>446</v>
      </c>
      <c r="E216" s="299">
        <f>IF(E214=0,0,E215/E214)</f>
        <v>0.95</v>
      </c>
      <c r="F216" s="224"/>
      <c r="G216" s="232"/>
      <c r="H216" s="34"/>
      <c r="I216" s="30"/>
      <c r="J216" s="30"/>
      <c r="K216" s="31"/>
      <c r="L216" s="30"/>
      <c r="M216" s="8"/>
      <c r="N216" s="229"/>
      <c r="O216" s="8"/>
      <c r="P216" s="8"/>
      <c r="Q216" s="8"/>
    </row>
    <row r="217" spans="1:17" s="15" customFormat="1" ht="19.5" thickBot="1" x14ac:dyDescent="0.35">
      <c r="A217" s="255"/>
      <c r="B217" s="255"/>
      <c r="C217" s="653" t="s">
        <v>103</v>
      </c>
      <c r="D217" s="654"/>
      <c r="E217" s="297">
        <f>IF(E216&lt;=75%,0,IF(E216&lt;95%,20*E216-15,4))</f>
        <v>4</v>
      </c>
      <c r="F217" s="30"/>
      <c r="G217" s="93"/>
      <c r="H217" s="34"/>
      <c r="I217" s="30"/>
      <c r="J217" s="30"/>
      <c r="K217" s="31"/>
      <c r="L217" s="30"/>
      <c r="M217" s="8"/>
      <c r="N217" s="229"/>
      <c r="O217" s="8"/>
      <c r="P217" s="8"/>
      <c r="Q217" s="8"/>
    </row>
    <row r="218" spans="1:17" ht="19.5" thickBot="1" x14ac:dyDescent="0.35">
      <c r="A218" s="255"/>
      <c r="B218" s="255"/>
      <c r="C218" s="72"/>
      <c r="D218" s="72"/>
      <c r="E218" s="258"/>
      <c r="G218" s="93"/>
      <c r="P218" s="201"/>
    </row>
    <row r="219" spans="1:17" s="15" customFormat="1" ht="57.75" customHeight="1" thickBot="1" x14ac:dyDescent="0.35">
      <c r="A219" s="255">
        <v>30</v>
      </c>
      <c r="B219" s="259" t="s">
        <v>13</v>
      </c>
      <c r="C219" s="661" t="s">
        <v>451</v>
      </c>
      <c r="D219" s="672"/>
      <c r="E219" s="270"/>
      <c r="F219" s="30"/>
      <c r="G219" s="99" t="str">
        <f>IF(E220=0,"Tidak ada tenaga ahli/pakar yang pernah diundang dalam tiga tahun terakhir. ",D220&amp;" = "&amp;E220&amp;" orang. ")</f>
        <v xml:space="preserve">Banyaknya tenaga ahli/pakar sebagai pembicara dalam seminar/pelatihan, pembicara tamu, dsb, dari luar PT sendiri (tidak termasuk dosendi RS Pendidikan Afiliasi dan Satelit) = 13 orang. </v>
      </c>
      <c r="H219" s="228"/>
      <c r="I219" s="208"/>
      <c r="J219" s="30"/>
      <c r="K219" s="31"/>
      <c r="L219" s="30"/>
      <c r="M219" s="8"/>
      <c r="N219" s="229"/>
      <c r="O219" s="8"/>
      <c r="P219" s="8"/>
      <c r="Q219" s="8"/>
    </row>
    <row r="220" spans="1:17" s="15" customFormat="1" ht="43.5" customHeight="1" x14ac:dyDescent="0.3">
      <c r="A220" s="255"/>
      <c r="B220" s="255"/>
      <c r="C220" s="217" t="s">
        <v>450</v>
      </c>
      <c r="D220" s="231" t="s">
        <v>449</v>
      </c>
      <c r="E220" s="304">
        <v>13</v>
      </c>
      <c r="F220" s="30"/>
      <c r="G220" s="651"/>
      <c r="H220" s="34"/>
      <c r="I220" s="30"/>
      <c r="J220" s="30"/>
      <c r="K220" s="31"/>
      <c r="L220" s="30"/>
      <c r="M220" s="8"/>
      <c r="N220" s="229"/>
      <c r="O220" s="8"/>
      <c r="P220" s="8"/>
      <c r="Q220" s="8"/>
    </row>
    <row r="221" spans="1:17" s="15" customFormat="1" ht="19.5" thickBot="1" x14ac:dyDescent="0.35">
      <c r="A221" s="255"/>
      <c r="B221" s="255"/>
      <c r="C221" s="653" t="s">
        <v>103</v>
      </c>
      <c r="D221" s="654"/>
      <c r="E221" s="297">
        <f>IF(E220&lt;12,1+E220/4,4)</f>
        <v>4</v>
      </c>
      <c r="F221" s="30"/>
      <c r="G221" s="652"/>
      <c r="H221" s="34"/>
      <c r="I221" s="30"/>
      <c r="J221" s="30"/>
      <c r="K221" s="31"/>
      <c r="L221" s="30"/>
      <c r="M221" s="8"/>
      <c r="N221" s="229"/>
      <c r="O221" s="8"/>
      <c r="P221" s="8"/>
      <c r="Q221" s="8"/>
    </row>
    <row r="222" spans="1:17" ht="19.5" thickBot="1" x14ac:dyDescent="0.35">
      <c r="A222" s="255"/>
      <c r="B222" s="255"/>
      <c r="C222" s="72"/>
      <c r="D222" s="72"/>
      <c r="E222" s="258"/>
      <c r="G222" s="93"/>
      <c r="P222" s="201"/>
    </row>
    <row r="223" spans="1:17" s="15" customFormat="1" ht="60" customHeight="1" thickBot="1" x14ac:dyDescent="0.35">
      <c r="A223" s="255">
        <v>31</v>
      </c>
      <c r="B223" s="259" t="s">
        <v>14</v>
      </c>
      <c r="C223" s="647" t="s">
        <v>456</v>
      </c>
      <c r="D223" s="648"/>
      <c r="E223" s="298"/>
      <c r="F223" s="30"/>
      <c r="G223" s="99" t="str">
        <f>IF(E224=0,"program studi tidak memiliki dosen tetap.",D226&amp;" = ("&amp;E225&amp;"/"&amp;E224&amp;") x 100% = "&amp;TEXT(E226,"0.00%."))</f>
        <v>Persentase dosen yang mengikuti tugas belajar jenjang S-3/Sp.K pada bidang keahlian yang sesuai dengan PS dalam kurun waktu tiga tahun terakhir = (95/100) x 100% = 95.00%.</v>
      </c>
      <c r="H223" s="228"/>
      <c r="I223" s="30"/>
      <c r="J223" s="30"/>
      <c r="K223" s="31"/>
      <c r="L223" s="30"/>
      <c r="M223" s="8"/>
      <c r="N223" s="229"/>
      <c r="O223" s="8"/>
      <c r="P223" s="8"/>
      <c r="Q223" s="8"/>
    </row>
    <row r="224" spans="1:17" s="15" customFormat="1" ht="17.25" customHeight="1" x14ac:dyDescent="0.3">
      <c r="A224" s="255"/>
      <c r="B224" s="255"/>
      <c r="C224" s="649" t="s">
        <v>452</v>
      </c>
      <c r="D224" s="650"/>
      <c r="E224" s="304">
        <v>100</v>
      </c>
      <c r="F224" s="30"/>
      <c r="G224" s="651"/>
      <c r="H224" s="34"/>
      <c r="I224" s="30"/>
      <c r="J224" s="30"/>
      <c r="K224" s="31"/>
      <c r="L224" s="30"/>
      <c r="M224" s="8"/>
      <c r="N224" s="229"/>
      <c r="O224" s="8"/>
      <c r="P224" s="8"/>
      <c r="Q224" s="8"/>
    </row>
    <row r="225" spans="1:17" s="15" customFormat="1" ht="43.5" customHeight="1" thickBot="1" x14ac:dyDescent="0.35">
      <c r="A225" s="255"/>
      <c r="B225" s="255"/>
      <c r="C225" s="649" t="s">
        <v>453</v>
      </c>
      <c r="D225" s="650"/>
      <c r="E225" s="304">
        <v>95</v>
      </c>
      <c r="F225" s="30"/>
      <c r="G225" s="652"/>
      <c r="H225" s="34"/>
      <c r="I225" s="30"/>
      <c r="J225" s="30"/>
      <c r="K225" s="31"/>
      <c r="L225" s="30"/>
      <c r="M225" s="8"/>
      <c r="N225" s="229"/>
      <c r="O225" s="8"/>
      <c r="P225" s="8"/>
      <c r="Q225" s="8"/>
    </row>
    <row r="226" spans="1:17" s="15" customFormat="1" ht="43.5" customHeight="1" x14ac:dyDescent="0.3">
      <c r="A226" s="255"/>
      <c r="B226" s="255"/>
      <c r="C226" s="230" t="s">
        <v>455</v>
      </c>
      <c r="D226" s="231" t="s">
        <v>454</v>
      </c>
      <c r="E226" s="299">
        <f>IF(E224=0,0,E225/E224)</f>
        <v>0.95</v>
      </c>
      <c r="F226" s="224"/>
      <c r="G226" s="232"/>
      <c r="H226" s="34"/>
      <c r="I226" s="30"/>
      <c r="J226" s="30"/>
      <c r="K226" s="31"/>
      <c r="L226" s="30"/>
      <c r="M226" s="8"/>
      <c r="N226" s="229"/>
      <c r="O226" s="8"/>
      <c r="P226" s="8"/>
      <c r="Q226" s="8"/>
    </row>
    <row r="227" spans="1:17" s="15" customFormat="1" ht="19.5" thickBot="1" x14ac:dyDescent="0.35">
      <c r="A227" s="255"/>
      <c r="B227" s="255"/>
      <c r="C227" s="653" t="s">
        <v>103</v>
      </c>
      <c r="D227" s="654"/>
      <c r="E227" s="297">
        <f>IF(E178=4, 4,  IF(E226&lt;10%,2+20*E226,4))</f>
        <v>4</v>
      </c>
      <c r="F227" s="30"/>
      <c r="G227" s="93"/>
      <c r="H227" s="34"/>
      <c r="I227" s="30"/>
      <c r="J227" s="30"/>
      <c r="K227" s="31"/>
      <c r="L227" s="30"/>
      <c r="M227" s="8"/>
      <c r="N227" s="229"/>
      <c r="O227" s="8"/>
      <c r="P227" s="8"/>
      <c r="Q227" s="8"/>
    </row>
    <row r="228" spans="1:17" ht="19.5" thickBot="1" x14ac:dyDescent="0.35">
      <c r="A228" s="255"/>
      <c r="B228" s="255"/>
      <c r="C228" s="72"/>
      <c r="D228" s="72"/>
      <c r="E228" s="258"/>
      <c r="G228" s="93"/>
      <c r="P228" s="201"/>
    </row>
    <row r="229" spans="1:17" s="15" customFormat="1" ht="60.75" customHeight="1" thickBot="1" x14ac:dyDescent="0.3">
      <c r="A229" s="233">
        <v>32</v>
      </c>
      <c r="B229" s="233" t="s">
        <v>15</v>
      </c>
      <c r="C229" s="663" t="s">
        <v>459</v>
      </c>
      <c r="D229" s="664"/>
      <c r="E229" s="265"/>
      <c r="F229" s="72"/>
      <c r="G229" s="99" t="str">
        <f>C229&amp;" "&amp;C230&amp;" = "&amp;E230&amp;", "&amp;C231&amp;" = "&amp;E231&amp;", "&amp;C232&amp;" = "&amp;E232&amp;", "&amp;C233&amp;" = "&amp;E233&amp;", "&amp;C234&amp;" = "&amp;E234&amp;", "&amp;C235&amp;" = "&amp;E235&amp;", "&amp;C235&amp;" = "&amp;E235&amp;". "&amp;D236&amp;" = "&amp;E236&amp;" orang."</f>
        <v>Kegiatan dosen PS dalam pertemuan ilmiah. NA = 10, NB = 7, NC = 9, ND = 15, NE = 20, NF = 25, NF = 25. Jumlah dosen PS (termasuk dosen di RS Pendidikan Utama, Afiliasi, dan Satelit) = 20 orang.</v>
      </c>
    </row>
    <row r="230" spans="1:17" s="15" customFormat="1" ht="26.25" x14ac:dyDescent="0.25">
      <c r="A230" s="234"/>
      <c r="B230" s="234"/>
      <c r="C230" s="71" t="s">
        <v>368</v>
      </c>
      <c r="D230" s="73" t="s">
        <v>1033</v>
      </c>
      <c r="E230" s="266">
        <v>10</v>
      </c>
      <c r="F230" s="72"/>
      <c r="G230" s="651"/>
    </row>
    <row r="231" spans="1:17" s="15" customFormat="1" ht="27" thickBot="1" x14ac:dyDescent="0.3">
      <c r="A231" s="233"/>
      <c r="B231" s="233"/>
      <c r="C231" s="69" t="s">
        <v>369</v>
      </c>
      <c r="D231" s="238" t="s">
        <v>1034</v>
      </c>
      <c r="E231" s="266">
        <v>7</v>
      </c>
      <c r="F231" s="72"/>
      <c r="G231" s="652"/>
    </row>
    <row r="232" spans="1:17" s="15" customFormat="1" ht="26.25" x14ac:dyDescent="0.25">
      <c r="A232" s="233"/>
      <c r="B232" s="233"/>
      <c r="C232" s="69" t="s">
        <v>370</v>
      </c>
      <c r="D232" s="238" t="s">
        <v>1035</v>
      </c>
      <c r="E232" s="266">
        <v>9</v>
      </c>
      <c r="F232" s="72"/>
      <c r="G232" s="235"/>
    </row>
    <row r="233" spans="1:17" s="15" customFormat="1" ht="26.25" x14ac:dyDescent="0.25">
      <c r="A233" s="233"/>
      <c r="B233" s="233"/>
      <c r="C233" s="69" t="s">
        <v>433</v>
      </c>
      <c r="D233" s="238" t="s">
        <v>1036</v>
      </c>
      <c r="E233" s="266">
        <v>15</v>
      </c>
      <c r="F233" s="72"/>
      <c r="G233" s="235"/>
    </row>
    <row r="234" spans="1:17" s="15" customFormat="1" ht="26.25" x14ac:dyDescent="0.25">
      <c r="A234" s="233"/>
      <c r="B234" s="233"/>
      <c r="C234" s="69" t="s">
        <v>457</v>
      </c>
      <c r="D234" s="238" t="s">
        <v>1037</v>
      </c>
      <c r="E234" s="266">
        <v>20</v>
      </c>
      <c r="F234" s="72"/>
      <c r="G234" s="235"/>
    </row>
    <row r="235" spans="1:17" s="15" customFormat="1" ht="26.25" x14ac:dyDescent="0.25">
      <c r="A235" s="233"/>
      <c r="B235" s="233"/>
      <c r="C235" s="69" t="s">
        <v>458</v>
      </c>
      <c r="D235" s="238" t="s">
        <v>1038</v>
      </c>
      <c r="E235" s="266">
        <v>25</v>
      </c>
      <c r="F235" s="72"/>
      <c r="G235" s="235"/>
    </row>
    <row r="236" spans="1:17" s="15" customFormat="1" ht="27.75" customHeight="1" x14ac:dyDescent="0.25">
      <c r="A236" s="233"/>
      <c r="B236" s="233"/>
      <c r="C236" s="230" t="s">
        <v>460</v>
      </c>
      <c r="D236" s="231" t="s">
        <v>461</v>
      </c>
      <c r="E236" s="266">
        <v>20</v>
      </c>
      <c r="F236" s="72"/>
      <c r="G236" s="235"/>
    </row>
    <row r="237" spans="1:17" s="15" customFormat="1" ht="18.75" customHeight="1" x14ac:dyDescent="0.25">
      <c r="A237" s="233"/>
      <c r="B237" s="233"/>
      <c r="C237" s="706" t="s">
        <v>1054</v>
      </c>
      <c r="D237" s="707"/>
      <c r="E237" s="293">
        <f>IF(E236=0,0, (4*E230+3*E231+3*E232+2*E233+2*E234+E235)/E236)</f>
        <v>9.15</v>
      </c>
      <c r="F237" s="72"/>
      <c r="G237" s="235"/>
    </row>
    <row r="238" spans="1:17" s="15" customFormat="1" ht="15.75" thickBot="1" x14ac:dyDescent="0.3">
      <c r="A238" s="233"/>
      <c r="B238" s="233"/>
      <c r="C238" s="76" t="s">
        <v>103</v>
      </c>
      <c r="D238" s="207"/>
      <c r="E238" s="263">
        <f>IF(E237&lt;9,4*E237/9,4)</f>
        <v>4</v>
      </c>
      <c r="F238" s="236"/>
      <c r="G238" s="237"/>
    </row>
    <row r="239" spans="1:17" ht="19.5" thickBot="1" x14ac:dyDescent="0.35">
      <c r="A239" s="255"/>
      <c r="B239" s="255"/>
      <c r="C239" s="72"/>
      <c r="D239" s="72"/>
      <c r="E239" s="258"/>
      <c r="G239" s="93"/>
      <c r="P239" s="201"/>
    </row>
    <row r="240" spans="1:17" s="15" customFormat="1" ht="60.75" customHeight="1" thickBot="1" x14ac:dyDescent="0.3">
      <c r="A240" s="233">
        <v>33</v>
      </c>
      <c r="B240" s="233" t="s">
        <v>16</v>
      </c>
      <c r="C240" s="663" t="s">
        <v>463</v>
      </c>
      <c r="D240" s="664"/>
      <c r="E240" s="265"/>
      <c r="F240" s="72"/>
      <c r="G240" s="99" t="str">
        <f>C240&amp;" "&amp;C241&amp;" = "&amp;E241&amp;", "&amp;C242&amp;" = "&amp;E242&amp;", "&amp;C243&amp;" = "&amp;E243&amp;", "&amp;C244&amp;" = "&amp;E244&amp;", "&amp;C245&amp;" = "&amp;E245&amp;", "&amp;C246&amp;" = "&amp;E246&amp;", "&amp;C246&amp;" = "&amp;E246&amp;". "&amp;D247&amp;" = "&amp;E247&amp;" orang."</f>
        <v>Media publikasi karya ilmiah dosen PS. NA = 10, NB = 7, NC = 9, ND = 15, NE = 20, NF = 25, NF = 25. Jumlah dosen PS (termasuk dosen di RS Pendidikan Utama, Afiliasi, dan Satelit) = 20 orang.</v>
      </c>
    </row>
    <row r="241" spans="1:17" s="15" customFormat="1" ht="15.75" x14ac:dyDescent="0.25">
      <c r="A241" s="234"/>
      <c r="B241" s="234"/>
      <c r="C241" s="71" t="s">
        <v>368</v>
      </c>
      <c r="D241" s="73" t="s">
        <v>469</v>
      </c>
      <c r="E241" s="266">
        <v>10</v>
      </c>
      <c r="F241" s="72"/>
      <c r="G241" s="651"/>
    </row>
    <row r="242" spans="1:17" s="15" customFormat="1" ht="16.5" thickBot="1" x14ac:dyDescent="0.3">
      <c r="A242" s="233"/>
      <c r="B242" s="233"/>
      <c r="C242" s="69" t="s">
        <v>369</v>
      </c>
      <c r="D242" s="238" t="s">
        <v>468</v>
      </c>
      <c r="E242" s="266">
        <v>7</v>
      </c>
      <c r="F242" s="72"/>
      <c r="G242" s="652"/>
    </row>
    <row r="243" spans="1:17" s="15" customFormat="1" ht="15.75" x14ac:dyDescent="0.25">
      <c r="A243" s="233"/>
      <c r="B243" s="233"/>
      <c r="C243" s="69" t="s">
        <v>370</v>
      </c>
      <c r="D243" s="238" t="s">
        <v>467</v>
      </c>
      <c r="E243" s="266">
        <v>9</v>
      </c>
      <c r="F243" s="72"/>
      <c r="G243" s="235"/>
    </row>
    <row r="244" spans="1:17" s="15" customFormat="1" ht="15.75" x14ac:dyDescent="0.25">
      <c r="A244" s="233"/>
      <c r="B244" s="233"/>
      <c r="C244" s="69" t="s">
        <v>433</v>
      </c>
      <c r="D244" s="238" t="s">
        <v>466</v>
      </c>
      <c r="E244" s="266">
        <v>15</v>
      </c>
      <c r="F244" s="72"/>
      <c r="G244" s="235"/>
    </row>
    <row r="245" spans="1:17" s="15" customFormat="1" ht="15.75" x14ac:dyDescent="0.25">
      <c r="A245" s="233"/>
      <c r="B245" s="233"/>
      <c r="C245" s="69" t="s">
        <v>457</v>
      </c>
      <c r="D245" s="238" t="s">
        <v>465</v>
      </c>
      <c r="E245" s="266">
        <v>20</v>
      </c>
      <c r="F245" s="72"/>
      <c r="G245" s="235"/>
    </row>
    <row r="246" spans="1:17" s="15" customFormat="1" ht="15.75" x14ac:dyDescent="0.25">
      <c r="A246" s="233"/>
      <c r="B246" s="233"/>
      <c r="C246" s="69" t="s">
        <v>458</v>
      </c>
      <c r="D246" s="238" t="s">
        <v>464</v>
      </c>
      <c r="E246" s="266">
        <v>25</v>
      </c>
      <c r="F246" s="72"/>
      <c r="G246" s="235"/>
    </row>
    <row r="247" spans="1:17" s="15" customFormat="1" ht="27.75" customHeight="1" x14ac:dyDescent="0.25">
      <c r="A247" s="233"/>
      <c r="B247" s="233"/>
      <c r="C247" s="230" t="s">
        <v>460</v>
      </c>
      <c r="D247" s="231" t="s">
        <v>461</v>
      </c>
      <c r="E247" s="266">
        <v>20</v>
      </c>
      <c r="F247" s="72"/>
      <c r="G247" s="235"/>
    </row>
    <row r="248" spans="1:17" s="15" customFormat="1" ht="18.75" customHeight="1" x14ac:dyDescent="0.25">
      <c r="A248" s="233"/>
      <c r="B248" s="233"/>
      <c r="C248" s="706" t="s">
        <v>462</v>
      </c>
      <c r="D248" s="707"/>
      <c r="E248" s="293">
        <f>IF(E247=0,0, (4*E241+3*E242+4*E243+3*E244+2*E245+E246)/E247)</f>
        <v>10.35</v>
      </c>
      <c r="F248" s="72"/>
      <c r="G248" s="235"/>
    </row>
    <row r="249" spans="1:17" s="15" customFormat="1" ht="15.75" thickBot="1" x14ac:dyDescent="0.3">
      <c r="A249" s="233"/>
      <c r="B249" s="233"/>
      <c r="C249" s="76" t="s">
        <v>103</v>
      </c>
      <c r="D249" s="207"/>
      <c r="E249" s="263">
        <f>IF(E248&lt;9,4*E248/9,4)</f>
        <v>4</v>
      </c>
      <c r="F249" s="236"/>
      <c r="G249" s="237"/>
    </row>
    <row r="250" spans="1:17" ht="19.5" thickBot="1" x14ac:dyDescent="0.35">
      <c r="A250" s="255"/>
      <c r="B250" s="255"/>
      <c r="C250" s="72"/>
      <c r="D250" s="72"/>
      <c r="E250" s="258"/>
      <c r="G250" s="93"/>
      <c r="P250" s="201"/>
    </row>
    <row r="251" spans="1:17" s="15" customFormat="1" ht="46.5" customHeight="1" thickBot="1" x14ac:dyDescent="0.35">
      <c r="A251" s="255">
        <v>34</v>
      </c>
      <c r="B251" s="259" t="s">
        <v>17</v>
      </c>
      <c r="C251" s="647" t="s">
        <v>471</v>
      </c>
      <c r="D251" s="648"/>
      <c r="E251" s="298"/>
      <c r="F251" s="30"/>
      <c r="G251" s="99" t="str">
        <f>IF(E252=0,"program studi tidak memiliki dosen tetap.",D254&amp;" = ("&amp;E253&amp;"/"&amp;E252&amp;") x 100% = "&amp;TEXT(E254,"0.00%."))</f>
        <v>Persentase dosen yang menjadi anggota organisasi keilmuan atau organisasi profesi tingkat internasional = (0/100) x 100% = 0.00%.</v>
      </c>
      <c r="H251" s="228"/>
      <c r="I251" s="30"/>
      <c r="J251" s="30"/>
      <c r="K251" s="31"/>
      <c r="L251" s="30"/>
      <c r="M251" s="8"/>
      <c r="N251" s="229"/>
      <c r="O251" s="8"/>
      <c r="P251" s="8"/>
      <c r="Q251" s="8"/>
    </row>
    <row r="252" spans="1:17" s="15" customFormat="1" ht="17.25" customHeight="1" x14ac:dyDescent="0.3">
      <c r="A252" s="255"/>
      <c r="B252" s="255"/>
      <c r="C252" s="649" t="s">
        <v>452</v>
      </c>
      <c r="D252" s="650"/>
      <c r="E252" s="304">
        <v>100</v>
      </c>
      <c r="F252" s="30"/>
      <c r="G252" s="651"/>
      <c r="H252" s="34"/>
      <c r="I252" s="30"/>
      <c r="J252" s="30"/>
      <c r="K252" s="31"/>
      <c r="L252" s="30"/>
      <c r="M252" s="8"/>
      <c r="N252" s="229"/>
      <c r="O252" s="8"/>
      <c r="P252" s="8"/>
      <c r="Q252" s="8"/>
    </row>
    <row r="253" spans="1:17" s="15" customFormat="1" ht="43.5" customHeight="1" thickBot="1" x14ac:dyDescent="0.35">
      <c r="A253" s="255"/>
      <c r="B253" s="255"/>
      <c r="C253" s="649" t="s">
        <v>472</v>
      </c>
      <c r="D253" s="650"/>
      <c r="E253" s="304">
        <v>0</v>
      </c>
      <c r="F253" s="30"/>
      <c r="G253" s="652"/>
      <c r="H253" s="34"/>
      <c r="I253" s="30"/>
      <c r="J253" s="30"/>
      <c r="K253" s="31"/>
      <c r="L253" s="30"/>
      <c r="M253" s="8"/>
      <c r="N253" s="229"/>
      <c r="O253" s="8"/>
      <c r="P253" s="8"/>
      <c r="Q253" s="8"/>
    </row>
    <row r="254" spans="1:17" s="15" customFormat="1" ht="30" customHeight="1" x14ac:dyDescent="0.3">
      <c r="A254" s="255"/>
      <c r="B254" s="255"/>
      <c r="C254" s="230" t="s">
        <v>470</v>
      </c>
      <c r="D254" s="231" t="s">
        <v>473</v>
      </c>
      <c r="E254" s="299">
        <f>IF(E252=0,0,E253/E252)</f>
        <v>0</v>
      </c>
      <c r="F254" s="224"/>
      <c r="G254" s="232"/>
      <c r="H254" s="34"/>
      <c r="I254" s="30"/>
      <c r="J254" s="30"/>
      <c r="K254" s="31"/>
      <c r="L254" s="30"/>
      <c r="M254" s="8"/>
      <c r="N254" s="229"/>
      <c r="O254" s="8"/>
      <c r="P254" s="8"/>
      <c r="Q254" s="8"/>
    </row>
    <row r="255" spans="1:17" s="15" customFormat="1" ht="19.5" thickBot="1" x14ac:dyDescent="0.35">
      <c r="A255" s="255"/>
      <c r="B255" s="255"/>
      <c r="C255" s="653" t="s">
        <v>103</v>
      </c>
      <c r="D255" s="654"/>
      <c r="E255" s="297">
        <f>IF(E254&lt;80%,5*E254,4)</f>
        <v>0</v>
      </c>
      <c r="F255" s="30"/>
      <c r="G255" s="93"/>
      <c r="H255" s="34"/>
      <c r="I255" s="30"/>
      <c r="J255" s="30"/>
      <c r="K255" s="31"/>
      <c r="L255" s="30"/>
      <c r="M255" s="8"/>
      <c r="N255" s="229"/>
      <c r="O255" s="8"/>
      <c r="P255" s="8"/>
      <c r="Q255" s="8"/>
    </row>
    <row r="256" spans="1:17" ht="19.5" thickBot="1" x14ac:dyDescent="0.35">
      <c r="A256" s="255"/>
      <c r="B256" s="255"/>
      <c r="C256" s="72"/>
      <c r="D256" s="72"/>
      <c r="E256" s="258"/>
      <c r="G256" s="93"/>
      <c r="P256" s="201"/>
    </row>
    <row r="257" spans="1:17" ht="92.25" customHeight="1" thickBot="1" x14ac:dyDescent="0.35">
      <c r="A257" s="255">
        <v>35</v>
      </c>
      <c r="B257" s="255" t="s">
        <v>154</v>
      </c>
      <c r="C257" s="659" t="s">
        <v>474</v>
      </c>
      <c r="D257" s="660"/>
      <c r="E257" s="261">
        <v>4</v>
      </c>
      <c r="G257" s="223" t="s">
        <v>475</v>
      </c>
      <c r="P257" s="201"/>
    </row>
    <row r="258" spans="1:17" s="224" customFormat="1" ht="32.25" customHeight="1" x14ac:dyDescent="0.25">
      <c r="A258" s="258"/>
      <c r="B258" s="258"/>
      <c r="C258" s="217">
        <v>1</v>
      </c>
      <c r="D258" s="220" t="s">
        <v>476</v>
      </c>
      <c r="E258" s="294"/>
      <c r="G258" s="225"/>
      <c r="H258" s="61"/>
      <c r="M258" s="226"/>
      <c r="N258" s="226"/>
      <c r="O258" s="226"/>
      <c r="P258" s="227"/>
      <c r="Q258" s="226"/>
    </row>
    <row r="259" spans="1:17" s="224" customFormat="1" ht="32.25" customHeight="1" x14ac:dyDescent="0.25">
      <c r="A259" s="258"/>
      <c r="B259" s="258"/>
      <c r="C259" s="217">
        <v>2</v>
      </c>
      <c r="D259" s="361" t="s">
        <v>1039</v>
      </c>
      <c r="E259" s="294"/>
      <c r="G259" s="225"/>
      <c r="H259" s="61"/>
      <c r="M259" s="226"/>
      <c r="N259" s="226"/>
      <c r="O259" s="226"/>
      <c r="P259" s="227"/>
      <c r="Q259" s="226"/>
    </row>
    <row r="260" spans="1:17" s="224" customFormat="1" ht="32.25" customHeight="1" x14ac:dyDescent="0.25">
      <c r="A260" s="258"/>
      <c r="B260" s="258"/>
      <c r="C260" s="217">
        <v>3</v>
      </c>
      <c r="D260" s="361" t="s">
        <v>1040</v>
      </c>
      <c r="E260" s="294"/>
      <c r="G260" s="225"/>
      <c r="H260" s="61"/>
      <c r="M260" s="226"/>
      <c r="N260" s="226"/>
      <c r="O260" s="226"/>
      <c r="P260" s="227"/>
      <c r="Q260" s="226"/>
    </row>
    <row r="261" spans="1:17" s="224" customFormat="1" ht="32.25" customHeight="1" x14ac:dyDescent="0.25">
      <c r="A261" s="258"/>
      <c r="B261" s="258"/>
      <c r="C261" s="217">
        <v>4</v>
      </c>
      <c r="D261" s="220" t="s">
        <v>477</v>
      </c>
      <c r="E261" s="294"/>
      <c r="G261" s="225"/>
      <c r="H261" s="61"/>
      <c r="M261" s="226"/>
      <c r="N261" s="226"/>
      <c r="O261" s="226"/>
      <c r="P261" s="227"/>
      <c r="Q261" s="226"/>
    </row>
    <row r="262" spans="1:17" ht="19.5" thickBot="1" x14ac:dyDescent="0.35">
      <c r="A262" s="255"/>
      <c r="B262" s="255"/>
      <c r="C262" s="645" t="s">
        <v>103</v>
      </c>
      <c r="D262" s="646"/>
      <c r="E262" s="263">
        <f>E257</f>
        <v>4</v>
      </c>
      <c r="G262" s="93"/>
      <c r="P262" s="201"/>
    </row>
    <row r="263" spans="1:17" ht="19.5" thickBot="1" x14ac:dyDescent="0.35">
      <c r="A263" s="255"/>
      <c r="B263" s="255"/>
      <c r="C263" s="72"/>
      <c r="D263" s="72"/>
      <c r="E263" s="258"/>
      <c r="G263" s="93"/>
      <c r="P263" s="201"/>
    </row>
    <row r="264" spans="1:17" ht="84" customHeight="1" thickBot="1" x14ac:dyDescent="0.35">
      <c r="A264" s="255">
        <v>36</v>
      </c>
      <c r="B264" s="255" t="s">
        <v>155</v>
      </c>
      <c r="C264" s="659" t="s">
        <v>478</v>
      </c>
      <c r="D264" s="660"/>
      <c r="E264" s="261">
        <v>4</v>
      </c>
      <c r="G264" s="223" t="s">
        <v>267</v>
      </c>
      <c r="P264" s="201"/>
    </row>
    <row r="265" spans="1:17" s="224" customFormat="1" ht="42.75" customHeight="1" x14ac:dyDescent="0.25">
      <c r="A265" s="258"/>
      <c r="B265" s="258"/>
      <c r="C265" s="217">
        <v>1</v>
      </c>
      <c r="D265" s="220" t="s">
        <v>479</v>
      </c>
      <c r="E265" s="294"/>
      <c r="G265" s="225"/>
      <c r="H265" s="61"/>
      <c r="M265" s="226"/>
      <c r="N265" s="226"/>
      <c r="O265" s="226"/>
      <c r="P265" s="227"/>
      <c r="Q265" s="226"/>
    </row>
    <row r="266" spans="1:17" s="224" customFormat="1" ht="32.25" customHeight="1" x14ac:dyDescent="0.25">
      <c r="A266" s="258"/>
      <c r="B266" s="258"/>
      <c r="C266" s="217">
        <v>2</v>
      </c>
      <c r="D266" s="220" t="s">
        <v>480</v>
      </c>
      <c r="E266" s="294"/>
      <c r="G266" s="225"/>
      <c r="H266" s="61"/>
      <c r="M266" s="226"/>
      <c r="N266" s="226"/>
      <c r="O266" s="226"/>
      <c r="P266" s="227"/>
      <c r="Q266" s="226"/>
    </row>
    <row r="267" spans="1:17" s="224" customFormat="1" ht="32.25" customHeight="1" x14ac:dyDescent="0.25">
      <c r="A267" s="258"/>
      <c r="B267" s="258"/>
      <c r="C267" s="217">
        <v>3</v>
      </c>
      <c r="D267" s="220" t="s">
        <v>481</v>
      </c>
      <c r="E267" s="294"/>
      <c r="G267" s="225"/>
      <c r="H267" s="61"/>
      <c r="M267" s="226"/>
      <c r="N267" s="226"/>
      <c r="O267" s="226"/>
      <c r="P267" s="227"/>
      <c r="Q267" s="226"/>
    </row>
    <row r="268" spans="1:17" s="224" customFormat="1" ht="32.25" customHeight="1" x14ac:dyDescent="0.25">
      <c r="A268" s="258"/>
      <c r="B268" s="258"/>
      <c r="C268" s="217">
        <v>4</v>
      </c>
      <c r="D268" s="220" t="s">
        <v>482</v>
      </c>
      <c r="E268" s="294"/>
      <c r="G268" s="225"/>
      <c r="H268" s="61"/>
      <c r="M268" s="226"/>
      <c r="N268" s="226"/>
      <c r="O268" s="226"/>
      <c r="P268" s="227"/>
      <c r="Q268" s="226"/>
    </row>
    <row r="269" spans="1:17" ht="19.5" thickBot="1" x14ac:dyDescent="0.35">
      <c r="A269" s="255"/>
      <c r="B269" s="255"/>
      <c r="C269" s="645" t="s">
        <v>103</v>
      </c>
      <c r="D269" s="646"/>
      <c r="E269" s="263">
        <f>E264</f>
        <v>4</v>
      </c>
      <c r="G269" s="93"/>
      <c r="P269" s="201"/>
    </row>
    <row r="270" spans="1:17" ht="19.5" thickBot="1" x14ac:dyDescent="0.35">
      <c r="A270" s="255"/>
      <c r="B270" s="255"/>
      <c r="C270" s="72"/>
      <c r="D270" s="72"/>
      <c r="E270" s="258"/>
      <c r="G270" s="93"/>
      <c r="P270" s="201"/>
    </row>
    <row r="271" spans="1:17" ht="111.75" customHeight="1" thickBot="1" x14ac:dyDescent="0.35">
      <c r="A271" s="255">
        <v>37</v>
      </c>
      <c r="B271" s="255" t="s">
        <v>677</v>
      </c>
      <c r="C271" s="703" t="s">
        <v>1043</v>
      </c>
      <c r="D271" s="704"/>
      <c r="E271" s="306">
        <f>(E290+E300+E308+E313)/4</f>
        <v>4</v>
      </c>
      <c r="G271" s="223" t="s">
        <v>735</v>
      </c>
      <c r="P271" s="201"/>
    </row>
    <row r="272" spans="1:17" ht="18.75" x14ac:dyDescent="0.3">
      <c r="A272" s="255"/>
      <c r="B272" s="255"/>
      <c r="C272" s="72"/>
      <c r="D272" s="72"/>
      <c r="E272" s="258"/>
      <c r="G272" s="93"/>
      <c r="P272" s="201"/>
    </row>
    <row r="273" spans="1:16" ht="19.5" thickBot="1" x14ac:dyDescent="0.35">
      <c r="A273" s="255"/>
      <c r="B273" s="255"/>
      <c r="C273" s="72"/>
      <c r="D273" s="72"/>
      <c r="E273" s="258"/>
      <c r="G273" s="93"/>
      <c r="P273" s="201"/>
    </row>
    <row r="274" spans="1:16" s="15" customFormat="1" ht="55.5" customHeight="1" x14ac:dyDescent="0.25">
      <c r="A274" s="233"/>
      <c r="B274" s="233" t="s">
        <v>483</v>
      </c>
      <c r="C274" s="663" t="s">
        <v>1128</v>
      </c>
      <c r="D274" s="664"/>
      <c r="E274" s="265"/>
      <c r="F274" s="72"/>
    </row>
    <row r="275" spans="1:16" s="15" customFormat="1" x14ac:dyDescent="0.25">
      <c r="A275" s="234"/>
      <c r="B275" s="234"/>
      <c r="C275" s="71">
        <v>1</v>
      </c>
      <c r="D275" s="73" t="s">
        <v>485</v>
      </c>
      <c r="E275" s="266">
        <v>85</v>
      </c>
      <c r="F275" s="72"/>
      <c r="G275" s="235"/>
    </row>
    <row r="276" spans="1:16" s="15" customFormat="1" x14ac:dyDescent="0.25">
      <c r="A276" s="234"/>
      <c r="B276" s="234"/>
      <c r="C276" s="71"/>
      <c r="D276" s="73" t="s">
        <v>414</v>
      </c>
      <c r="E276" s="267">
        <f>IF(E275&lt;=50,1,IF(E275&lt;80,(E275-40)/10,4))</f>
        <v>4</v>
      </c>
      <c r="F276" s="72"/>
      <c r="G276" s="235"/>
    </row>
    <row r="277" spans="1:16" s="15" customFormat="1" x14ac:dyDescent="0.25">
      <c r="A277" s="233"/>
      <c r="B277" s="233"/>
      <c r="C277" s="69">
        <v>2</v>
      </c>
      <c r="D277" s="238" t="s">
        <v>484</v>
      </c>
      <c r="E277" s="266">
        <v>85</v>
      </c>
      <c r="F277" s="72"/>
      <c r="G277" s="235"/>
    </row>
    <row r="278" spans="1:16" s="15" customFormat="1" x14ac:dyDescent="0.25">
      <c r="A278" s="233"/>
      <c r="B278" s="233"/>
      <c r="C278" s="69"/>
      <c r="D278" s="238" t="s">
        <v>415</v>
      </c>
      <c r="E278" s="267">
        <f>IF(E277&lt;=50,1,IF(E277&lt;80,(E277-40)/10,4))</f>
        <v>4</v>
      </c>
      <c r="F278" s="72"/>
      <c r="G278" s="235"/>
    </row>
    <row r="279" spans="1:16" s="15" customFormat="1" x14ac:dyDescent="0.25">
      <c r="A279" s="233"/>
      <c r="B279" s="233"/>
      <c r="C279" s="69">
        <v>3</v>
      </c>
      <c r="D279" s="238" t="s">
        <v>486</v>
      </c>
      <c r="E279" s="266">
        <v>85</v>
      </c>
      <c r="F279" s="72"/>
      <c r="G279" s="235"/>
    </row>
    <row r="280" spans="1:16" s="15" customFormat="1" x14ac:dyDescent="0.25">
      <c r="A280" s="233"/>
      <c r="B280" s="233"/>
      <c r="C280" s="69"/>
      <c r="D280" s="238" t="s">
        <v>491</v>
      </c>
      <c r="E280" s="267">
        <f>IF(E279&lt;=50,1,IF(E279&lt;80,(E279-40)/10,4))</f>
        <v>4</v>
      </c>
      <c r="F280" s="72"/>
      <c r="G280" s="235"/>
    </row>
    <row r="281" spans="1:16" s="15" customFormat="1" x14ac:dyDescent="0.25">
      <c r="A281" s="233"/>
      <c r="B281" s="233"/>
      <c r="C281" s="69">
        <v>4</v>
      </c>
      <c r="D281" s="238" t="s">
        <v>487</v>
      </c>
      <c r="E281" s="266">
        <v>85</v>
      </c>
      <c r="F281" s="72"/>
      <c r="G281" s="235"/>
    </row>
    <row r="282" spans="1:16" s="15" customFormat="1" x14ac:dyDescent="0.25">
      <c r="A282" s="233"/>
      <c r="B282" s="233"/>
      <c r="C282" s="69"/>
      <c r="D282" s="238" t="s">
        <v>492</v>
      </c>
      <c r="E282" s="267">
        <f>IF(E281&lt;=50,1,IF(E281&lt;80,(E281-40)/10,4))</f>
        <v>4</v>
      </c>
      <c r="F282" s="72"/>
      <c r="G282" s="235"/>
    </row>
    <row r="283" spans="1:16" s="15" customFormat="1" x14ac:dyDescent="0.25">
      <c r="A283" s="233"/>
      <c r="B283" s="233"/>
      <c r="C283" s="69">
        <v>5</v>
      </c>
      <c r="D283" s="238" t="s">
        <v>488</v>
      </c>
      <c r="E283" s="266">
        <v>85</v>
      </c>
      <c r="F283" s="72"/>
      <c r="G283" s="235"/>
    </row>
    <row r="284" spans="1:16" s="15" customFormat="1" x14ac:dyDescent="0.25">
      <c r="A284" s="233"/>
      <c r="B284" s="233"/>
      <c r="C284" s="69"/>
      <c r="D284" s="238" t="s">
        <v>493</v>
      </c>
      <c r="E284" s="267">
        <f>IF(E283&lt;=50,1,IF(E283&lt;80,(E283-40)/10,4))</f>
        <v>4</v>
      </c>
      <c r="F284" s="72"/>
      <c r="G284" s="235"/>
    </row>
    <row r="285" spans="1:16" s="15" customFormat="1" x14ac:dyDescent="0.25">
      <c r="A285" s="233"/>
      <c r="B285" s="233"/>
      <c r="C285" s="69">
        <v>6</v>
      </c>
      <c r="D285" s="238" t="s">
        <v>489</v>
      </c>
      <c r="E285" s="266">
        <v>85</v>
      </c>
      <c r="F285" s="72"/>
      <c r="G285" s="235"/>
    </row>
    <row r="286" spans="1:16" s="15" customFormat="1" x14ac:dyDescent="0.25">
      <c r="A286" s="233"/>
      <c r="B286" s="233"/>
      <c r="C286" s="239"/>
      <c r="D286" s="238" t="s">
        <v>494</v>
      </c>
      <c r="E286" s="267">
        <f>IF(E285&lt;=50,1,IF(E285&lt;80,(E285-40)/10,4))</f>
        <v>4</v>
      </c>
      <c r="F286" s="72"/>
      <c r="G286" s="235"/>
    </row>
    <row r="287" spans="1:16" s="15" customFormat="1" ht="27.75" customHeight="1" x14ac:dyDescent="0.25">
      <c r="A287" s="233"/>
      <c r="B287" s="233"/>
      <c r="C287" s="230">
        <v>7</v>
      </c>
      <c r="D287" s="231" t="s">
        <v>490</v>
      </c>
      <c r="E287" s="266">
        <v>85</v>
      </c>
      <c r="F287" s="72"/>
      <c r="G287" s="235"/>
    </row>
    <row r="288" spans="1:16" s="15" customFormat="1" ht="27.75" customHeight="1" x14ac:dyDescent="0.25">
      <c r="A288" s="233"/>
      <c r="B288" s="233"/>
      <c r="C288" s="230"/>
      <c r="D288" s="240" t="s">
        <v>495</v>
      </c>
      <c r="E288" s="267">
        <f>IF(E287&lt;=50,1,IF(E287&lt;80,(E287-40)/10,4))</f>
        <v>4</v>
      </c>
      <c r="F288" s="72"/>
      <c r="G288" s="235"/>
    </row>
    <row r="289" spans="1:16" s="15" customFormat="1" ht="30.75" customHeight="1" x14ac:dyDescent="0.25">
      <c r="A289" s="233"/>
      <c r="B289" s="233"/>
      <c r="C289" s="649" t="s">
        <v>496</v>
      </c>
      <c r="D289" s="650"/>
      <c r="E289" s="293">
        <f>(E276+E278+E280+E282+E284+E286+E288)/7</f>
        <v>4</v>
      </c>
      <c r="F289" s="72"/>
      <c r="G289" s="235"/>
    </row>
    <row r="290" spans="1:16" s="15" customFormat="1" ht="15.75" thickBot="1" x14ac:dyDescent="0.3">
      <c r="A290" s="233"/>
      <c r="B290" s="233"/>
      <c r="C290" s="657" t="s">
        <v>103</v>
      </c>
      <c r="D290" s="658"/>
      <c r="E290" s="297">
        <f>E289</f>
        <v>4</v>
      </c>
      <c r="F290" s="236"/>
      <c r="G290" s="237"/>
    </row>
    <row r="291" spans="1:16" ht="19.5" thickBot="1" x14ac:dyDescent="0.35">
      <c r="A291" s="255"/>
      <c r="B291" s="255"/>
      <c r="C291" s="72"/>
      <c r="D291" s="72"/>
      <c r="E291" s="258"/>
      <c r="G291" s="93"/>
      <c r="P291" s="201"/>
    </row>
    <row r="292" spans="1:16" s="15" customFormat="1" ht="19.5" customHeight="1" x14ac:dyDescent="0.25">
      <c r="A292" s="233"/>
      <c r="B292" s="233" t="s">
        <v>497</v>
      </c>
      <c r="C292" s="663" t="s">
        <v>498</v>
      </c>
      <c r="D292" s="664"/>
      <c r="E292" s="265"/>
      <c r="F292" s="72"/>
    </row>
    <row r="293" spans="1:16" s="15" customFormat="1" x14ac:dyDescent="0.25">
      <c r="A293" s="234"/>
      <c r="B293" s="234"/>
      <c r="C293" s="71">
        <v>1</v>
      </c>
      <c r="D293" s="73" t="s">
        <v>499</v>
      </c>
      <c r="E293" s="266">
        <v>85</v>
      </c>
      <c r="F293" s="72"/>
      <c r="G293" s="235"/>
    </row>
    <row r="294" spans="1:16" s="15" customFormat="1" x14ac:dyDescent="0.25">
      <c r="A294" s="234"/>
      <c r="B294" s="234"/>
      <c r="C294" s="71"/>
      <c r="D294" s="73" t="s">
        <v>414</v>
      </c>
      <c r="E294" s="267">
        <f>IF(E293&lt;=50,1,IF(E293&lt;80,(E293-40)/10,4))</f>
        <v>4</v>
      </c>
      <c r="F294" s="72"/>
      <c r="G294" s="235"/>
    </row>
    <row r="295" spans="1:16" s="15" customFormat="1" x14ac:dyDescent="0.25">
      <c r="A295" s="233"/>
      <c r="B295" s="233"/>
      <c r="C295" s="69">
        <v>2</v>
      </c>
      <c r="D295" s="238" t="s">
        <v>500</v>
      </c>
      <c r="E295" s="266">
        <v>85</v>
      </c>
      <c r="F295" s="72"/>
      <c r="G295" s="235"/>
    </row>
    <row r="296" spans="1:16" s="15" customFormat="1" x14ac:dyDescent="0.25">
      <c r="A296" s="233"/>
      <c r="B296" s="233"/>
      <c r="C296" s="69"/>
      <c r="D296" s="238" t="s">
        <v>415</v>
      </c>
      <c r="E296" s="267">
        <f>IF(E295&lt;=50,1,IF(E295&lt;80,(E295-40)/10,4))</f>
        <v>4</v>
      </c>
      <c r="F296" s="72"/>
      <c r="G296" s="235"/>
    </row>
    <row r="297" spans="1:16" s="15" customFormat="1" ht="26.25" x14ac:dyDescent="0.25">
      <c r="A297" s="233"/>
      <c r="B297" s="233"/>
      <c r="C297" s="69">
        <v>3</v>
      </c>
      <c r="D297" s="238" t="s">
        <v>501</v>
      </c>
      <c r="E297" s="266">
        <v>85</v>
      </c>
      <c r="F297" s="72"/>
      <c r="G297" s="235"/>
    </row>
    <row r="298" spans="1:16" s="15" customFormat="1" x14ac:dyDescent="0.25">
      <c r="A298" s="233"/>
      <c r="B298" s="233"/>
      <c r="C298" s="69"/>
      <c r="D298" s="238" t="s">
        <v>491</v>
      </c>
      <c r="E298" s="267">
        <f>IF(E297&lt;=50,1,IF(E297&lt;80,(E297-40)/10,4))</f>
        <v>4</v>
      </c>
      <c r="F298" s="72"/>
      <c r="G298" s="235"/>
    </row>
    <row r="299" spans="1:16" s="15" customFormat="1" ht="30.75" customHeight="1" x14ac:dyDescent="0.25">
      <c r="A299" s="233"/>
      <c r="B299" s="233"/>
      <c r="C299" s="649" t="s">
        <v>502</v>
      </c>
      <c r="D299" s="650"/>
      <c r="E299" s="293">
        <f>(E294+E296+E298)/3</f>
        <v>4</v>
      </c>
      <c r="F299" s="72"/>
      <c r="G299" s="235"/>
    </row>
    <row r="300" spans="1:16" s="15" customFormat="1" ht="15.75" thickBot="1" x14ac:dyDescent="0.3">
      <c r="A300" s="233"/>
      <c r="B300" s="233"/>
      <c r="C300" s="657" t="s">
        <v>103</v>
      </c>
      <c r="D300" s="658"/>
      <c r="E300" s="297">
        <f>E299</f>
        <v>4</v>
      </c>
      <c r="F300" s="236"/>
      <c r="G300" s="237"/>
    </row>
    <row r="301" spans="1:16" ht="19.5" thickBot="1" x14ac:dyDescent="0.35">
      <c r="A301" s="255"/>
      <c r="B301" s="255"/>
      <c r="C301" s="72"/>
      <c r="D301" s="72"/>
      <c r="E301" s="258"/>
      <c r="G301" s="93"/>
      <c r="P301" s="201"/>
    </row>
    <row r="302" spans="1:16" s="15" customFormat="1" ht="21" customHeight="1" x14ac:dyDescent="0.25">
      <c r="A302" s="233"/>
      <c r="B302" s="233" t="s">
        <v>503</v>
      </c>
      <c r="C302" s="663" t="s">
        <v>504</v>
      </c>
      <c r="D302" s="664"/>
      <c r="E302" s="265"/>
      <c r="F302" s="72"/>
    </row>
    <row r="303" spans="1:16" s="15" customFormat="1" ht="26.25" x14ac:dyDescent="0.25">
      <c r="A303" s="234"/>
      <c r="B303" s="234"/>
      <c r="C303" s="71">
        <v>1</v>
      </c>
      <c r="D303" s="73" t="s">
        <v>505</v>
      </c>
      <c r="E303" s="266">
        <v>85</v>
      </c>
      <c r="F303" s="72"/>
      <c r="G303" s="235"/>
    </row>
    <row r="304" spans="1:16" s="15" customFormat="1" x14ac:dyDescent="0.25">
      <c r="A304" s="234"/>
      <c r="B304" s="234"/>
      <c r="C304" s="71"/>
      <c r="D304" s="73" t="s">
        <v>414</v>
      </c>
      <c r="E304" s="267">
        <f>IF(E303&lt;=50,1,IF(E303&lt;80,(E303-40)/10,4))</f>
        <v>4</v>
      </c>
      <c r="F304" s="72"/>
      <c r="G304" s="235"/>
    </row>
    <row r="305" spans="1:16" s="15" customFormat="1" ht="26.25" x14ac:dyDescent="0.25">
      <c r="A305" s="233"/>
      <c r="B305" s="233"/>
      <c r="C305" s="69">
        <v>2</v>
      </c>
      <c r="D305" s="238" t="s">
        <v>506</v>
      </c>
      <c r="E305" s="266">
        <v>85</v>
      </c>
      <c r="F305" s="72"/>
      <c r="G305" s="235"/>
    </row>
    <row r="306" spans="1:16" s="15" customFormat="1" x14ac:dyDescent="0.25">
      <c r="A306" s="233"/>
      <c r="B306" s="233"/>
      <c r="C306" s="69"/>
      <c r="D306" s="238" t="s">
        <v>415</v>
      </c>
      <c r="E306" s="267">
        <f>IF(E305&lt;=50,1,IF(E305&lt;80,(E305-40)/10,4))</f>
        <v>4</v>
      </c>
      <c r="F306" s="72"/>
      <c r="G306" s="235"/>
    </row>
    <row r="307" spans="1:16" s="15" customFormat="1" ht="30.75" customHeight="1" x14ac:dyDescent="0.25">
      <c r="A307" s="233"/>
      <c r="B307" s="233"/>
      <c r="C307" s="649" t="s">
        <v>507</v>
      </c>
      <c r="D307" s="650"/>
      <c r="E307" s="293">
        <f>(E304+E306)/2</f>
        <v>4</v>
      </c>
      <c r="F307" s="72"/>
      <c r="G307" s="235"/>
    </row>
    <row r="308" spans="1:16" s="15" customFormat="1" ht="15.75" thickBot="1" x14ac:dyDescent="0.3">
      <c r="A308" s="233"/>
      <c r="B308" s="233"/>
      <c r="C308" s="657" t="s">
        <v>103</v>
      </c>
      <c r="D308" s="658"/>
      <c r="E308" s="297">
        <f>E307</f>
        <v>4</v>
      </c>
      <c r="F308" s="236"/>
      <c r="G308" s="237"/>
    </row>
    <row r="309" spans="1:16" ht="19.5" thickBot="1" x14ac:dyDescent="0.35">
      <c r="A309" s="255"/>
      <c r="B309" s="255"/>
      <c r="C309" s="72"/>
      <c r="D309" s="72"/>
      <c r="E309" s="258"/>
      <c r="G309" s="93"/>
      <c r="P309" s="201"/>
    </row>
    <row r="310" spans="1:16" s="15" customFormat="1" ht="20.25" customHeight="1" x14ac:dyDescent="0.25">
      <c r="A310" s="233"/>
      <c r="B310" s="233" t="s">
        <v>508</v>
      </c>
      <c r="C310" s="663" t="s">
        <v>509</v>
      </c>
      <c r="D310" s="664"/>
      <c r="E310" s="265"/>
      <c r="F310" s="72"/>
    </row>
    <row r="311" spans="1:16" s="15" customFormat="1" x14ac:dyDescent="0.25">
      <c r="A311" s="234"/>
      <c r="B311" s="234"/>
      <c r="C311" s="665" t="s">
        <v>511</v>
      </c>
      <c r="D311" s="666"/>
      <c r="E311" s="266">
        <v>85</v>
      </c>
      <c r="F311" s="72"/>
      <c r="G311" s="235"/>
    </row>
    <row r="312" spans="1:16" s="15" customFormat="1" x14ac:dyDescent="0.25">
      <c r="A312" s="234"/>
      <c r="B312" s="234"/>
      <c r="C312" s="665" t="s">
        <v>510</v>
      </c>
      <c r="D312" s="666"/>
      <c r="E312" s="267">
        <f>IF(E311&lt;=50,1,IF(E311&lt;80,(E311-40)/10,4))</f>
        <v>4</v>
      </c>
      <c r="F312" s="72"/>
      <c r="G312" s="235"/>
    </row>
    <row r="313" spans="1:16" s="15" customFormat="1" ht="15.75" thickBot="1" x14ac:dyDescent="0.3">
      <c r="A313" s="233"/>
      <c r="B313" s="233"/>
      <c r="C313" s="657" t="s">
        <v>103</v>
      </c>
      <c r="D313" s="658"/>
      <c r="E313" s="297">
        <f>E312</f>
        <v>4</v>
      </c>
      <c r="F313" s="236"/>
      <c r="G313" s="237"/>
    </row>
    <row r="314" spans="1:16" ht="19.5" thickBot="1" x14ac:dyDescent="0.35">
      <c r="A314" s="255"/>
      <c r="B314" s="255"/>
      <c r="C314" s="72"/>
      <c r="D314" s="72"/>
      <c r="E314" s="258"/>
      <c r="G314" s="93"/>
      <c r="P314" s="201"/>
    </row>
    <row r="315" spans="1:16" s="15" customFormat="1" ht="66.75" customHeight="1" thickBot="1" x14ac:dyDescent="0.3">
      <c r="A315" s="233">
        <v>38</v>
      </c>
      <c r="B315" s="233" t="s">
        <v>515</v>
      </c>
      <c r="C315" s="663" t="s">
        <v>1055</v>
      </c>
      <c r="D315" s="664"/>
      <c r="E315" s="641">
        <f>E337</f>
        <v>4</v>
      </c>
      <c r="F315" s="72"/>
      <c r="G315" s="223" t="s">
        <v>1056</v>
      </c>
    </row>
    <row r="316" spans="1:16" s="15" customFormat="1" ht="15" customHeight="1" x14ac:dyDescent="0.25">
      <c r="A316" s="234"/>
      <c r="B316" s="234"/>
      <c r="C316" s="71">
        <v>1</v>
      </c>
      <c r="D316" s="73" t="s">
        <v>1057</v>
      </c>
      <c r="E316" s="266">
        <v>5</v>
      </c>
      <c r="F316" s="72"/>
      <c r="G316" s="235"/>
    </row>
    <row r="317" spans="1:16" s="15" customFormat="1" ht="15" customHeight="1" x14ac:dyDescent="0.25">
      <c r="A317" s="234"/>
      <c r="B317" s="234"/>
      <c r="C317" s="71"/>
      <c r="D317" s="73" t="s">
        <v>414</v>
      </c>
      <c r="E317" s="267">
        <f>IF(E316&lt;=2,0,IF(E316&lt;5,(1.33*E316)+(-2.67),4))</f>
        <v>4</v>
      </c>
      <c r="F317" s="72"/>
      <c r="G317" s="235"/>
    </row>
    <row r="318" spans="1:16" s="15" customFormat="1" ht="15" customHeight="1" x14ac:dyDescent="0.25">
      <c r="A318" s="233"/>
      <c r="B318" s="233"/>
      <c r="C318" s="69">
        <v>2</v>
      </c>
      <c r="D318" s="73" t="s">
        <v>1058</v>
      </c>
      <c r="E318" s="266">
        <v>5</v>
      </c>
      <c r="F318" s="72"/>
      <c r="G318" s="235"/>
    </row>
    <row r="319" spans="1:16" s="15" customFormat="1" ht="15" customHeight="1" x14ac:dyDescent="0.25">
      <c r="A319" s="233"/>
      <c r="B319" s="233"/>
      <c r="C319" s="69"/>
      <c r="D319" s="238" t="s">
        <v>415</v>
      </c>
      <c r="E319" s="267">
        <f>IF(E318&lt;=2,0,IF(E318&lt;5,(1.33*E318)+(-2.67),4))</f>
        <v>4</v>
      </c>
      <c r="F319" s="72"/>
      <c r="G319" s="235"/>
    </row>
    <row r="320" spans="1:16" s="15" customFormat="1" x14ac:dyDescent="0.25">
      <c r="A320" s="233"/>
      <c r="B320" s="233"/>
      <c r="C320" s="69">
        <v>3</v>
      </c>
      <c r="D320" s="213" t="s">
        <v>1059</v>
      </c>
      <c r="E320" s="266">
        <v>5</v>
      </c>
      <c r="F320" s="72"/>
      <c r="G320" s="235"/>
    </row>
    <row r="321" spans="1:7" s="15" customFormat="1" ht="15" customHeight="1" x14ac:dyDescent="0.25">
      <c r="A321" s="233"/>
      <c r="B321" s="233"/>
      <c r="C321" s="69"/>
      <c r="D321" s="238" t="s">
        <v>491</v>
      </c>
      <c r="E321" s="267">
        <f>IF(E320&lt;=2,0,IF(E320&lt;5,(1.33*E320)+(-2.67),4))</f>
        <v>4</v>
      </c>
      <c r="F321" s="72"/>
      <c r="G321" s="235"/>
    </row>
    <row r="322" spans="1:7" s="15" customFormat="1" ht="15" customHeight="1" x14ac:dyDescent="0.25">
      <c r="A322" s="233"/>
      <c r="B322" s="233"/>
      <c r="C322" s="69">
        <v>4</v>
      </c>
      <c r="D322" s="73" t="s">
        <v>1060</v>
      </c>
      <c r="E322" s="266">
        <v>15</v>
      </c>
      <c r="F322" s="72"/>
      <c r="G322" s="235"/>
    </row>
    <row r="323" spans="1:7" s="15" customFormat="1" ht="15" customHeight="1" x14ac:dyDescent="0.25">
      <c r="A323" s="233"/>
      <c r="B323" s="233"/>
      <c r="C323" s="69"/>
      <c r="D323" s="238" t="s">
        <v>492</v>
      </c>
      <c r="E323" s="267">
        <f>IF(E322&lt;5,0,IF(E322&lt;15,(0.4*E322)+(-2),4))</f>
        <v>4</v>
      </c>
      <c r="F323" s="72"/>
      <c r="G323" s="235"/>
    </row>
    <row r="324" spans="1:7" s="15" customFormat="1" ht="15" customHeight="1" x14ac:dyDescent="0.25">
      <c r="A324" s="233"/>
      <c r="B324" s="233"/>
      <c r="C324" s="69">
        <v>5</v>
      </c>
      <c r="D324" s="73" t="s">
        <v>1061</v>
      </c>
      <c r="E324" s="266">
        <v>10</v>
      </c>
      <c r="F324" s="72"/>
      <c r="G324" s="235"/>
    </row>
    <row r="325" spans="1:7" s="15" customFormat="1" ht="15" customHeight="1" x14ac:dyDescent="0.25">
      <c r="A325" s="233"/>
      <c r="B325" s="233"/>
      <c r="C325" s="69"/>
      <c r="D325" s="238" t="s">
        <v>493</v>
      </c>
      <c r="E325" s="267">
        <f>IF(E324&lt;5,0,IF(E324&lt;10,(0.8*E324)+(-4),4))</f>
        <v>4</v>
      </c>
      <c r="F325" s="72"/>
      <c r="G325" s="235"/>
    </row>
    <row r="326" spans="1:7" s="15" customFormat="1" ht="15" customHeight="1" x14ac:dyDescent="0.25">
      <c r="A326" s="233"/>
      <c r="B326" s="233"/>
      <c r="C326" s="69">
        <v>6</v>
      </c>
      <c r="D326" s="73" t="s">
        <v>1062</v>
      </c>
      <c r="E326" s="266">
        <v>20</v>
      </c>
      <c r="F326" s="72"/>
      <c r="G326" s="235"/>
    </row>
    <row r="327" spans="1:7" s="15" customFormat="1" ht="15" customHeight="1" x14ac:dyDescent="0.25">
      <c r="A327" s="233"/>
      <c r="B327" s="233"/>
      <c r="C327" s="69"/>
      <c r="D327" s="238" t="s">
        <v>494</v>
      </c>
      <c r="E327" s="267">
        <f>IF(E326&lt;5,0,IF(E326&lt;20,(0.27*E326)+(-1.33),4))</f>
        <v>4</v>
      </c>
      <c r="F327" s="72"/>
      <c r="G327" s="235"/>
    </row>
    <row r="328" spans="1:7" s="15" customFormat="1" ht="15" customHeight="1" x14ac:dyDescent="0.25">
      <c r="A328" s="233"/>
      <c r="B328" s="233"/>
      <c r="C328" s="217">
        <v>7</v>
      </c>
      <c r="D328" s="73" t="s">
        <v>1063</v>
      </c>
      <c r="E328" s="266">
        <v>10</v>
      </c>
      <c r="F328" s="72"/>
      <c r="G328" s="235"/>
    </row>
    <row r="329" spans="1:7" s="15" customFormat="1" ht="15" customHeight="1" x14ac:dyDescent="0.25">
      <c r="A329" s="233"/>
      <c r="B329" s="233"/>
      <c r="C329" s="217"/>
      <c r="D329" s="231" t="s">
        <v>495</v>
      </c>
      <c r="E329" s="267">
        <f>IF(E328&lt;5,0,IF(E328&lt;10,(0.8*E328)+(-4),4))</f>
        <v>4</v>
      </c>
      <c r="F329" s="72"/>
      <c r="G329" s="235"/>
    </row>
    <row r="330" spans="1:7" s="15" customFormat="1" ht="15" customHeight="1" x14ac:dyDescent="0.25">
      <c r="A330" s="233"/>
      <c r="B330" s="233"/>
      <c r="C330" s="217">
        <v>8</v>
      </c>
      <c r="D330" s="73" t="s">
        <v>1064</v>
      </c>
      <c r="E330" s="266">
        <v>15</v>
      </c>
      <c r="F330" s="72"/>
      <c r="G330" s="235"/>
    </row>
    <row r="331" spans="1:7" s="15" customFormat="1" ht="15" customHeight="1" x14ac:dyDescent="0.25">
      <c r="A331" s="233"/>
      <c r="B331" s="233"/>
      <c r="C331" s="217"/>
      <c r="D331" s="231" t="s">
        <v>512</v>
      </c>
      <c r="E331" s="267">
        <f>IF(E330&lt;5,0,IF(E330&lt;15,(0.4*E330)+(-2),4))</f>
        <v>4</v>
      </c>
      <c r="F331" s="72"/>
      <c r="G331" s="235"/>
    </row>
    <row r="332" spans="1:7" s="15" customFormat="1" x14ac:dyDescent="0.25">
      <c r="A332" s="233"/>
      <c r="B332" s="233"/>
      <c r="C332" s="217">
        <v>9</v>
      </c>
      <c r="D332" s="213" t="s">
        <v>1115</v>
      </c>
      <c r="E332" s="266">
        <v>5</v>
      </c>
      <c r="F332" s="72"/>
      <c r="G332" s="235"/>
    </row>
    <row r="333" spans="1:7" s="15" customFormat="1" ht="15" customHeight="1" x14ac:dyDescent="0.25">
      <c r="A333" s="233"/>
      <c r="B333" s="233"/>
      <c r="C333" s="217"/>
      <c r="D333" s="231" t="s">
        <v>513</v>
      </c>
      <c r="E333" s="267">
        <f>IF(E332&lt;=2,0,IF(E332&lt;5,(1.33*E332)+(-2.67),4))</f>
        <v>4</v>
      </c>
      <c r="F333" s="72"/>
      <c r="G333" s="235"/>
    </row>
    <row r="334" spans="1:7" s="15" customFormat="1" ht="15" customHeight="1" x14ac:dyDescent="0.25">
      <c r="A334" s="233"/>
      <c r="B334" s="233"/>
      <c r="C334" s="217">
        <v>10</v>
      </c>
      <c r="D334" s="73" t="s">
        <v>1116</v>
      </c>
      <c r="E334" s="266">
        <v>5</v>
      </c>
      <c r="F334" s="72"/>
      <c r="G334" s="235"/>
    </row>
    <row r="335" spans="1:7" s="15" customFormat="1" ht="15" customHeight="1" x14ac:dyDescent="0.25">
      <c r="A335" s="233"/>
      <c r="B335" s="233"/>
      <c r="C335" s="217"/>
      <c r="D335" s="231" t="s">
        <v>514</v>
      </c>
      <c r="E335" s="267">
        <f>IF(E334&lt;=2,0,IF(E334&lt;5,(1.33*E334)+(-2.67),4))</f>
        <v>4</v>
      </c>
      <c r="F335" s="72"/>
      <c r="G335" s="235"/>
    </row>
    <row r="336" spans="1:7" s="15" customFormat="1" ht="46.5" customHeight="1" x14ac:dyDescent="0.25">
      <c r="A336" s="233"/>
      <c r="B336" s="233"/>
      <c r="C336" s="667" t="s">
        <v>518</v>
      </c>
      <c r="D336" s="668"/>
      <c r="E336" s="293">
        <f>(E317+E319+E321+E323+E325+E327+E329+E331+E333+E335)/10</f>
        <v>4</v>
      </c>
      <c r="F336" s="72"/>
      <c r="G336" s="235"/>
    </row>
    <row r="337" spans="1:16" s="15" customFormat="1" ht="15.75" thickBot="1" x14ac:dyDescent="0.3">
      <c r="A337" s="233"/>
      <c r="B337" s="233"/>
      <c r="C337" s="653" t="s">
        <v>103</v>
      </c>
      <c r="D337" s="654"/>
      <c r="E337" s="297">
        <f>E336</f>
        <v>4</v>
      </c>
      <c r="F337" s="236"/>
      <c r="G337" s="237"/>
    </row>
    <row r="338" spans="1:16" ht="19.5" thickBot="1" x14ac:dyDescent="0.35">
      <c r="A338" s="255"/>
      <c r="B338" s="255"/>
      <c r="C338" s="72"/>
      <c r="D338" s="72"/>
      <c r="E338" s="258"/>
      <c r="G338" s="93"/>
      <c r="P338" s="201"/>
    </row>
    <row r="339" spans="1:16" ht="111.75" customHeight="1" thickBot="1" x14ac:dyDescent="0.35">
      <c r="A339" s="255">
        <v>39</v>
      </c>
      <c r="B339" s="255" t="s">
        <v>516</v>
      </c>
      <c r="C339" s="703" t="s">
        <v>1065</v>
      </c>
      <c r="D339" s="705"/>
      <c r="E339" s="307">
        <f>SUM(E377,E395)/2</f>
        <v>4</v>
      </c>
      <c r="G339" s="223" t="s">
        <v>1066</v>
      </c>
      <c r="P339" s="201"/>
    </row>
    <row r="340" spans="1:16" ht="19.5" thickBot="1" x14ac:dyDescent="0.35">
      <c r="A340" s="255"/>
      <c r="B340" s="255"/>
      <c r="C340" s="72"/>
      <c r="D340" s="72"/>
      <c r="E340" s="258"/>
      <c r="G340" s="93"/>
      <c r="P340" s="201"/>
    </row>
    <row r="341" spans="1:16" s="15" customFormat="1" ht="27.75" customHeight="1" x14ac:dyDescent="0.25">
      <c r="A341" s="233"/>
      <c r="B341" s="233" t="s">
        <v>678</v>
      </c>
      <c r="C341" s="663" t="s">
        <v>1067</v>
      </c>
      <c r="D341" s="664"/>
      <c r="E341" s="265"/>
      <c r="F341" s="72"/>
      <c r="G341" s="241"/>
      <c r="I341" s="241"/>
    </row>
    <row r="342" spans="1:16" s="15" customFormat="1" ht="16.5" customHeight="1" x14ac:dyDescent="0.25">
      <c r="A342" s="234"/>
      <c r="B342" s="234"/>
      <c r="C342" s="71">
        <v>1</v>
      </c>
      <c r="D342" s="73" t="s">
        <v>1070</v>
      </c>
      <c r="E342" s="266">
        <v>10</v>
      </c>
      <c r="F342" s="72"/>
      <c r="G342" s="235"/>
    </row>
    <row r="343" spans="1:16" s="15" customFormat="1" ht="16.5" customHeight="1" x14ac:dyDescent="0.25">
      <c r="A343" s="234"/>
      <c r="B343" s="234"/>
      <c r="C343" s="71"/>
      <c r="D343" s="73" t="s">
        <v>414</v>
      </c>
      <c r="E343" s="267">
        <f>IF(E342&lt;5,0,IF(E342&lt;10,(0.8*E342)+(-4),4))</f>
        <v>4</v>
      </c>
      <c r="F343" s="72"/>
      <c r="G343" s="235"/>
    </row>
    <row r="344" spans="1:16" s="15" customFormat="1" ht="16.5" customHeight="1" x14ac:dyDescent="0.25">
      <c r="A344" s="233"/>
      <c r="B344" s="233"/>
      <c r="C344" s="69">
        <v>2</v>
      </c>
      <c r="D344" s="73" t="s">
        <v>1069</v>
      </c>
      <c r="E344" s="266">
        <v>5</v>
      </c>
      <c r="F344" s="72"/>
      <c r="G344" s="235"/>
    </row>
    <row r="345" spans="1:16" s="15" customFormat="1" ht="16.5" customHeight="1" x14ac:dyDescent="0.25">
      <c r="A345" s="233"/>
      <c r="B345" s="233"/>
      <c r="C345" s="69"/>
      <c r="D345" s="238" t="s">
        <v>415</v>
      </c>
      <c r="E345" s="267">
        <f>IF(E344&lt;=2,0,IF(E344&lt;5,(1.33*E344)+(-2.67),4))</f>
        <v>4</v>
      </c>
      <c r="F345" s="72"/>
      <c r="G345" s="235"/>
    </row>
    <row r="346" spans="1:16" s="15" customFormat="1" ht="16.5" customHeight="1" x14ac:dyDescent="0.25">
      <c r="A346" s="233"/>
      <c r="B346" s="233"/>
      <c r="C346" s="69">
        <v>3</v>
      </c>
      <c r="D346" s="213" t="s">
        <v>1068</v>
      </c>
      <c r="E346" s="266">
        <v>5</v>
      </c>
      <c r="F346" s="72"/>
      <c r="G346" s="235"/>
    </row>
    <row r="347" spans="1:16" s="15" customFormat="1" ht="16.5" customHeight="1" x14ac:dyDescent="0.25">
      <c r="A347" s="233"/>
      <c r="B347" s="233"/>
      <c r="C347" s="69"/>
      <c r="D347" s="238" t="s">
        <v>491</v>
      </c>
      <c r="E347" s="267">
        <f>IF(E346&lt;=2,0,IF(E346&lt;5,(1.33*E346)+(-2.67),4))</f>
        <v>4</v>
      </c>
      <c r="F347" s="72"/>
      <c r="G347" s="235"/>
    </row>
    <row r="348" spans="1:16" s="15" customFormat="1" ht="16.5" customHeight="1" x14ac:dyDescent="0.25">
      <c r="A348" s="233"/>
      <c r="B348" s="233"/>
      <c r="C348" s="69">
        <v>4</v>
      </c>
      <c r="D348" s="73" t="s">
        <v>1117</v>
      </c>
      <c r="E348" s="266">
        <v>5</v>
      </c>
      <c r="F348" s="72"/>
      <c r="G348" s="235"/>
    </row>
    <row r="349" spans="1:16" s="15" customFormat="1" ht="16.5" customHeight="1" x14ac:dyDescent="0.25">
      <c r="A349" s="233"/>
      <c r="B349" s="233"/>
      <c r="C349" s="69"/>
      <c r="D349" s="238" t="s">
        <v>492</v>
      </c>
      <c r="E349" s="267">
        <f>IF(E348&lt;=2,0,IF(E348&lt;5,(1.33*E348)+(-2.67),4))</f>
        <v>4</v>
      </c>
      <c r="F349" s="72"/>
      <c r="G349" s="235"/>
    </row>
    <row r="350" spans="1:16" s="15" customFormat="1" ht="16.5" customHeight="1" x14ac:dyDescent="0.25">
      <c r="A350" s="233"/>
      <c r="B350" s="233"/>
      <c r="C350" s="69">
        <v>5</v>
      </c>
      <c r="D350" s="213" t="s">
        <v>1071</v>
      </c>
      <c r="E350" s="266">
        <v>5</v>
      </c>
      <c r="F350" s="72"/>
      <c r="G350" s="235"/>
    </row>
    <row r="351" spans="1:16" s="15" customFormat="1" ht="16.5" customHeight="1" x14ac:dyDescent="0.25">
      <c r="A351" s="233"/>
      <c r="B351" s="233"/>
      <c r="C351" s="69"/>
      <c r="D351" s="238" t="s">
        <v>493</v>
      </c>
      <c r="E351" s="267">
        <f>IF(E350&lt;=2,0,IF(E350&lt;5,(1.33*E350)+(-2.67),4))</f>
        <v>4</v>
      </c>
      <c r="F351" s="72"/>
      <c r="G351" s="235"/>
    </row>
    <row r="352" spans="1:16" s="15" customFormat="1" ht="16.5" customHeight="1" x14ac:dyDescent="0.25">
      <c r="A352" s="233"/>
      <c r="B352" s="233"/>
      <c r="C352" s="69">
        <v>6</v>
      </c>
      <c r="D352" s="213" t="s">
        <v>1072</v>
      </c>
      <c r="E352" s="266">
        <v>5</v>
      </c>
      <c r="F352" s="72"/>
      <c r="G352" s="235"/>
    </row>
    <row r="353" spans="1:7" s="15" customFormat="1" ht="16.5" customHeight="1" x14ac:dyDescent="0.25">
      <c r="A353" s="233"/>
      <c r="B353" s="233"/>
      <c r="C353" s="69"/>
      <c r="D353" s="238" t="s">
        <v>494</v>
      </c>
      <c r="E353" s="267">
        <f>IF(E352&lt;=2,0,IF(E352&lt;5,(1.33*E352)+(-2.67),4))</f>
        <v>4</v>
      </c>
      <c r="F353" s="72"/>
      <c r="G353" s="235"/>
    </row>
    <row r="354" spans="1:7" s="15" customFormat="1" ht="16.5" customHeight="1" x14ac:dyDescent="0.25">
      <c r="A354" s="233"/>
      <c r="B354" s="233"/>
      <c r="C354" s="217">
        <v>7</v>
      </c>
      <c r="D354" s="73" t="s">
        <v>1073</v>
      </c>
      <c r="E354" s="266">
        <v>15</v>
      </c>
      <c r="F354" s="72"/>
      <c r="G354" s="235"/>
    </row>
    <row r="355" spans="1:7" s="15" customFormat="1" ht="16.5" customHeight="1" x14ac:dyDescent="0.25">
      <c r="A355" s="233"/>
      <c r="B355" s="233"/>
      <c r="C355" s="217"/>
      <c r="D355" s="231" t="s">
        <v>495</v>
      </c>
      <c r="E355" s="267">
        <f>IF(E354&lt;5,0,IF(E354&lt;15,(0.4*E354)+(-2),4))</f>
        <v>4</v>
      </c>
      <c r="F355" s="72"/>
      <c r="G355" s="235"/>
    </row>
    <row r="356" spans="1:7" s="15" customFormat="1" ht="16.5" customHeight="1" x14ac:dyDescent="0.25">
      <c r="A356" s="233"/>
      <c r="B356" s="233"/>
      <c r="C356" s="217">
        <v>8</v>
      </c>
      <c r="D356" s="73" t="s">
        <v>1118</v>
      </c>
      <c r="E356" s="266">
        <v>5</v>
      </c>
      <c r="F356" s="72"/>
      <c r="G356" s="235"/>
    </row>
    <row r="357" spans="1:7" s="15" customFormat="1" ht="16.5" customHeight="1" x14ac:dyDescent="0.25">
      <c r="A357" s="233"/>
      <c r="B357" s="233"/>
      <c r="C357" s="217"/>
      <c r="D357" s="231" t="s">
        <v>512</v>
      </c>
      <c r="E357" s="267">
        <f>IF(E356&lt;=2,0,IF(E356&lt;5,(1.33*E356)+(-2.67),4))</f>
        <v>4</v>
      </c>
      <c r="F357" s="72"/>
      <c r="G357" s="235"/>
    </row>
    <row r="358" spans="1:7" s="15" customFormat="1" ht="16.5" customHeight="1" x14ac:dyDescent="0.25">
      <c r="A358" s="233"/>
      <c r="B358" s="233"/>
      <c r="C358" s="217">
        <v>9</v>
      </c>
      <c r="D358" s="213" t="s">
        <v>1119</v>
      </c>
      <c r="E358" s="266">
        <v>10</v>
      </c>
      <c r="F358" s="72"/>
      <c r="G358" s="235"/>
    </row>
    <row r="359" spans="1:7" s="15" customFormat="1" ht="16.5" customHeight="1" x14ac:dyDescent="0.25">
      <c r="A359" s="233"/>
      <c r="B359" s="233"/>
      <c r="C359" s="217"/>
      <c r="D359" s="231" t="s">
        <v>513</v>
      </c>
      <c r="E359" s="267">
        <f>IF(E358&lt;=2,1,IF(E358&lt;10,(3*E358/8)+(1/4),4))</f>
        <v>4</v>
      </c>
      <c r="F359" s="72"/>
      <c r="G359" s="235"/>
    </row>
    <row r="360" spans="1:7" s="15" customFormat="1" ht="16.5" customHeight="1" x14ac:dyDescent="0.25">
      <c r="A360" s="233"/>
      <c r="B360" s="233"/>
      <c r="C360" s="217">
        <v>10</v>
      </c>
      <c r="D360" s="73" t="s">
        <v>1120</v>
      </c>
      <c r="E360" s="266">
        <v>5</v>
      </c>
      <c r="F360" s="72"/>
      <c r="G360" s="235"/>
    </row>
    <row r="361" spans="1:7" s="15" customFormat="1" ht="16.5" customHeight="1" x14ac:dyDescent="0.25">
      <c r="A361" s="233"/>
      <c r="B361" s="233"/>
      <c r="C361" s="217"/>
      <c r="D361" s="231" t="s">
        <v>514</v>
      </c>
      <c r="E361" s="267">
        <f>IF(E360&lt;=2,0,IF(E360&lt;5,(1.33*E360)+(-2.67),4))</f>
        <v>4</v>
      </c>
      <c r="F361" s="72"/>
      <c r="G361" s="235"/>
    </row>
    <row r="362" spans="1:7" s="15" customFormat="1" ht="25.5" x14ac:dyDescent="0.25">
      <c r="A362" s="233"/>
      <c r="B362" s="233"/>
      <c r="C362" s="69">
        <v>11</v>
      </c>
      <c r="D362" s="213" t="s">
        <v>1121</v>
      </c>
      <c r="E362" s="266">
        <v>30</v>
      </c>
      <c r="F362" s="72"/>
      <c r="G362" s="235"/>
    </row>
    <row r="363" spans="1:7" s="15" customFormat="1" ht="16.5" customHeight="1" x14ac:dyDescent="0.25">
      <c r="A363" s="233"/>
      <c r="B363" s="233"/>
      <c r="C363" s="69"/>
      <c r="D363" s="238" t="s">
        <v>517</v>
      </c>
      <c r="E363" s="267">
        <f>IF(E362&lt;5,0,IF(E362&lt;30,(0.16*E362)+(-0.8),4))</f>
        <v>4</v>
      </c>
      <c r="F363" s="72"/>
      <c r="G363" s="235"/>
    </row>
    <row r="364" spans="1:7" s="15" customFormat="1" ht="27" customHeight="1" x14ac:dyDescent="0.25">
      <c r="A364" s="233"/>
      <c r="B364" s="233"/>
      <c r="C364" s="217">
        <v>12</v>
      </c>
      <c r="D364" s="73" t="s">
        <v>1074</v>
      </c>
      <c r="E364" s="266">
        <v>5</v>
      </c>
      <c r="F364" s="72"/>
      <c r="G364" s="235"/>
    </row>
    <row r="365" spans="1:7" s="15" customFormat="1" ht="16.5" customHeight="1" x14ac:dyDescent="0.25">
      <c r="A365" s="233"/>
      <c r="B365" s="233"/>
      <c r="C365" s="217"/>
      <c r="D365" s="238" t="s">
        <v>1084</v>
      </c>
      <c r="E365" s="267">
        <f>IF(E364&lt;=2,0,IF(E364&lt;5,(1.33*E364)+(-2.67),4))</f>
        <v>4</v>
      </c>
      <c r="F365" s="72"/>
      <c r="G365" s="235"/>
    </row>
    <row r="366" spans="1:7" s="15" customFormat="1" ht="16.5" customHeight="1" x14ac:dyDescent="0.25">
      <c r="A366" s="233"/>
      <c r="B366" s="233"/>
      <c r="C366" s="69">
        <v>13</v>
      </c>
      <c r="D366" s="213" t="s">
        <v>1075</v>
      </c>
      <c r="E366" s="266">
        <v>3</v>
      </c>
      <c r="F366" s="72"/>
      <c r="G366" s="235"/>
    </row>
    <row r="367" spans="1:7" s="15" customFormat="1" ht="16.5" customHeight="1" x14ac:dyDescent="0.25">
      <c r="A367" s="233"/>
      <c r="B367" s="233"/>
      <c r="C367" s="69"/>
      <c r="D367" s="238" t="s">
        <v>1085</v>
      </c>
      <c r="E367" s="267">
        <f>IF(E366&lt;1,0,IF(E366&lt;3,(2*E366)+(-2),4))</f>
        <v>4</v>
      </c>
      <c r="F367" s="72"/>
      <c r="G367" s="235"/>
    </row>
    <row r="368" spans="1:7" s="15" customFormat="1" ht="16.5" customHeight="1" x14ac:dyDescent="0.25">
      <c r="A368" s="233"/>
      <c r="B368" s="233"/>
      <c r="C368" s="217">
        <v>14</v>
      </c>
      <c r="D368" s="213" t="s">
        <v>1076</v>
      </c>
      <c r="E368" s="266">
        <v>10</v>
      </c>
      <c r="F368" s="72"/>
      <c r="G368" s="235"/>
    </row>
    <row r="369" spans="1:16" s="15" customFormat="1" ht="16.5" customHeight="1" x14ac:dyDescent="0.25">
      <c r="A369" s="233"/>
      <c r="B369" s="233"/>
      <c r="C369" s="217"/>
      <c r="D369" s="238" t="s">
        <v>1086</v>
      </c>
      <c r="E369" s="267">
        <f>IF(E368&lt;=2,0,IF(E368&lt;5,(1.33*E368)+(-2.67),4))</f>
        <v>4</v>
      </c>
      <c r="F369" s="72"/>
      <c r="G369" s="235"/>
    </row>
    <row r="370" spans="1:16" s="15" customFormat="1" ht="16.5" customHeight="1" x14ac:dyDescent="0.25">
      <c r="A370" s="233"/>
      <c r="B370" s="233"/>
      <c r="C370" s="69">
        <v>15</v>
      </c>
      <c r="D370" s="73" t="s">
        <v>1077</v>
      </c>
      <c r="E370" s="266">
        <v>5</v>
      </c>
      <c r="F370" s="72"/>
      <c r="G370" s="235"/>
    </row>
    <row r="371" spans="1:16" s="15" customFormat="1" ht="16.5" customHeight="1" x14ac:dyDescent="0.25">
      <c r="A371" s="233"/>
      <c r="B371" s="233"/>
      <c r="C371" s="69"/>
      <c r="D371" s="231" t="s">
        <v>1087</v>
      </c>
      <c r="E371" s="267">
        <f>IF(E370&lt;=2,0,IF(E370&lt;5,(1.33*E370)+(-2.67),4))</f>
        <v>4</v>
      </c>
      <c r="F371" s="72"/>
      <c r="G371" s="235"/>
    </row>
    <row r="372" spans="1:16" s="15" customFormat="1" ht="16.5" customHeight="1" x14ac:dyDescent="0.25">
      <c r="A372" s="233"/>
      <c r="B372" s="233"/>
      <c r="C372" s="217">
        <v>16</v>
      </c>
      <c r="D372" s="73" t="s">
        <v>1078</v>
      </c>
      <c r="E372" s="266">
        <v>5</v>
      </c>
      <c r="F372" s="72"/>
      <c r="G372" s="235"/>
    </row>
    <row r="373" spans="1:16" s="15" customFormat="1" ht="16.5" customHeight="1" x14ac:dyDescent="0.25">
      <c r="A373" s="233"/>
      <c r="B373" s="233"/>
      <c r="C373" s="217"/>
      <c r="D373" s="231" t="s">
        <v>1088</v>
      </c>
      <c r="E373" s="267">
        <f>IF(E372&lt;=2,0,IF(E372&lt;5,(1.33*E372)+(-2.67),4))</f>
        <v>4</v>
      </c>
      <c r="F373" s="72"/>
      <c r="G373" s="235"/>
    </row>
    <row r="374" spans="1:16" s="15" customFormat="1" ht="16.5" customHeight="1" x14ac:dyDescent="0.25">
      <c r="A374" s="233"/>
      <c r="B374" s="233"/>
      <c r="C374" s="69">
        <v>17</v>
      </c>
      <c r="D374" s="213" t="s">
        <v>1079</v>
      </c>
      <c r="E374" s="266">
        <v>10</v>
      </c>
      <c r="F374" s="72"/>
      <c r="G374" s="235"/>
    </row>
    <row r="375" spans="1:16" s="15" customFormat="1" ht="16.5" customHeight="1" x14ac:dyDescent="0.25">
      <c r="A375" s="233"/>
      <c r="B375" s="233"/>
      <c r="C375" s="69"/>
      <c r="D375" s="231" t="s">
        <v>1089</v>
      </c>
      <c r="E375" s="267">
        <f>IF(E374&lt;=2,0,IF(E374&lt;5,(1.33*E374)+(-2.67),4))</f>
        <v>4</v>
      </c>
      <c r="F375" s="72"/>
      <c r="G375" s="235"/>
    </row>
    <row r="376" spans="1:16" s="15" customFormat="1" ht="46.5" customHeight="1" x14ac:dyDescent="0.25">
      <c r="A376" s="233"/>
      <c r="B376" s="233"/>
      <c r="C376" s="667" t="s">
        <v>1129</v>
      </c>
      <c r="D376" s="668"/>
      <c r="E376" s="293">
        <f>(SUM(E343,E345,E347,E349,E351,E353,E355,E357,E359,E361,E363,E365,E367,E369,E371,E373,E375)/17)</f>
        <v>4</v>
      </c>
      <c r="F376" s="72"/>
      <c r="G376" s="235"/>
    </row>
    <row r="377" spans="1:16" s="15" customFormat="1" ht="15.75" thickBot="1" x14ac:dyDescent="0.3">
      <c r="A377" s="233"/>
      <c r="B377" s="233"/>
      <c r="C377" s="653" t="s">
        <v>103</v>
      </c>
      <c r="D377" s="654"/>
      <c r="E377" s="297">
        <f>E376</f>
        <v>4</v>
      </c>
      <c r="F377" s="236"/>
      <c r="G377" s="237"/>
    </row>
    <row r="378" spans="1:16" ht="19.5" thickBot="1" x14ac:dyDescent="0.35">
      <c r="A378" s="255"/>
      <c r="B378" s="255"/>
      <c r="C378" s="72"/>
      <c r="D378" s="72"/>
      <c r="E378" s="258"/>
      <c r="G378" s="93"/>
      <c r="P378" s="201"/>
    </row>
    <row r="379" spans="1:16" s="15" customFormat="1" ht="23.25" customHeight="1" x14ac:dyDescent="0.25">
      <c r="A379" s="233"/>
      <c r="B379" s="233" t="s">
        <v>679</v>
      </c>
      <c r="C379" s="663" t="s">
        <v>1080</v>
      </c>
      <c r="D379" s="664"/>
      <c r="E379" s="265"/>
      <c r="F379" s="72"/>
      <c r="G379" s="241"/>
      <c r="I379" s="241"/>
    </row>
    <row r="380" spans="1:16" s="15" customFormat="1" ht="26.25" x14ac:dyDescent="0.25">
      <c r="A380" s="234"/>
      <c r="B380" s="234"/>
      <c r="C380" s="71">
        <v>1</v>
      </c>
      <c r="D380" s="73" t="s">
        <v>1122</v>
      </c>
      <c r="E380" s="266">
        <v>5</v>
      </c>
      <c r="F380" s="72"/>
      <c r="G380" s="235"/>
    </row>
    <row r="381" spans="1:16" s="15" customFormat="1" ht="16.5" customHeight="1" x14ac:dyDescent="0.25">
      <c r="A381" s="234"/>
      <c r="B381" s="234"/>
      <c r="C381" s="71"/>
      <c r="D381" s="73" t="s">
        <v>414</v>
      </c>
      <c r="E381" s="267">
        <f>IF(E380&lt;=2,0,IF(E380&lt;5,(1.33*E380)+(-2.67),4))</f>
        <v>4</v>
      </c>
      <c r="F381" s="72"/>
      <c r="G381" s="235"/>
    </row>
    <row r="382" spans="1:16" s="15" customFormat="1" ht="16.5" customHeight="1" x14ac:dyDescent="0.25">
      <c r="A382" s="233"/>
      <c r="B382" s="233"/>
      <c r="C382" s="69">
        <v>2</v>
      </c>
      <c r="D382" s="73" t="s">
        <v>1081</v>
      </c>
      <c r="E382" s="266">
        <v>2</v>
      </c>
      <c r="F382" s="72"/>
      <c r="G382" s="235"/>
    </row>
    <row r="383" spans="1:16" s="15" customFormat="1" ht="16.5" customHeight="1" x14ac:dyDescent="0.25">
      <c r="A383" s="233"/>
      <c r="B383" s="233"/>
      <c r="C383" s="69"/>
      <c r="D383" s="238" t="s">
        <v>415</v>
      </c>
      <c r="E383" s="267">
        <f>IF(E382&lt;1,0,IF(E382&lt;2,(2*E382)+(-2),4))</f>
        <v>4</v>
      </c>
      <c r="F383" s="72"/>
      <c r="G383" s="235"/>
    </row>
    <row r="384" spans="1:16" s="15" customFormat="1" ht="26.25" x14ac:dyDescent="0.25">
      <c r="A384" s="233"/>
      <c r="B384" s="233"/>
      <c r="C384" s="69">
        <v>3</v>
      </c>
      <c r="D384" s="73" t="s">
        <v>1082</v>
      </c>
      <c r="E384" s="266">
        <v>15</v>
      </c>
      <c r="F384" s="72"/>
      <c r="G384" s="235"/>
    </row>
    <row r="385" spans="1:17" s="15" customFormat="1" ht="16.5" customHeight="1" x14ac:dyDescent="0.25">
      <c r="A385" s="233"/>
      <c r="B385" s="233"/>
      <c r="C385" s="69"/>
      <c r="D385" s="238" t="s">
        <v>491</v>
      </c>
      <c r="E385" s="267">
        <f>IF(E384&lt;5,0,IF(E384&lt;15,(0.4*E384)+(-2),4))</f>
        <v>4</v>
      </c>
      <c r="F385" s="72"/>
      <c r="G385" s="235"/>
    </row>
    <row r="386" spans="1:17" s="15" customFormat="1" x14ac:dyDescent="0.25">
      <c r="A386" s="233"/>
      <c r="B386" s="233"/>
      <c r="C386" s="69">
        <v>4</v>
      </c>
      <c r="D386" s="73" t="s">
        <v>1083</v>
      </c>
      <c r="E386" s="266">
        <v>20</v>
      </c>
      <c r="F386" s="72"/>
      <c r="G386" s="235"/>
    </row>
    <row r="387" spans="1:17" s="15" customFormat="1" ht="16.5" customHeight="1" x14ac:dyDescent="0.25">
      <c r="A387" s="233"/>
      <c r="B387" s="233"/>
      <c r="C387" s="69"/>
      <c r="D387" s="238" t="s">
        <v>492</v>
      </c>
      <c r="E387" s="267">
        <f>IF(E386&lt;5,0,IF(E386&lt;20,(0.27*E386)+(-1.33),4))</f>
        <v>4</v>
      </c>
      <c r="F387" s="72"/>
      <c r="G387" s="235"/>
    </row>
    <row r="388" spans="1:17" s="15" customFormat="1" x14ac:dyDescent="0.25">
      <c r="A388" s="233"/>
      <c r="B388" s="233"/>
      <c r="C388" s="69">
        <v>5</v>
      </c>
      <c r="D388" s="73" t="s">
        <v>1123</v>
      </c>
      <c r="E388" s="266">
        <v>10</v>
      </c>
      <c r="F388" s="72"/>
      <c r="G388" s="235"/>
    </row>
    <row r="389" spans="1:17" s="15" customFormat="1" ht="16.5" customHeight="1" x14ac:dyDescent="0.25">
      <c r="A389" s="233"/>
      <c r="B389" s="233"/>
      <c r="C389" s="69"/>
      <c r="D389" s="238" t="s">
        <v>493</v>
      </c>
      <c r="E389" s="267">
        <f>IF(E388&lt;=2,0,IF(E388&lt;5,(1.33*E388)+(-2.67),4))</f>
        <v>4</v>
      </c>
      <c r="F389" s="72"/>
      <c r="G389" s="235"/>
    </row>
    <row r="390" spans="1:17" s="15" customFormat="1" ht="16.5" customHeight="1" x14ac:dyDescent="0.25">
      <c r="A390" s="233"/>
      <c r="B390" s="233"/>
      <c r="C390" s="69">
        <v>6</v>
      </c>
      <c r="D390" s="74" t="s">
        <v>1124</v>
      </c>
      <c r="E390" s="266">
        <v>5</v>
      </c>
      <c r="F390" s="72"/>
      <c r="G390" s="235"/>
    </row>
    <row r="391" spans="1:17" s="15" customFormat="1" ht="16.5" customHeight="1" x14ac:dyDescent="0.25">
      <c r="A391" s="233"/>
      <c r="B391" s="233"/>
      <c r="C391" s="69"/>
      <c r="D391" s="238" t="s">
        <v>494</v>
      </c>
      <c r="E391" s="267">
        <f>IF(E390&lt;=2,0,IF(E390&lt;5,(1.33*E390)+(-2.67),4))</f>
        <v>4</v>
      </c>
      <c r="F391" s="72"/>
      <c r="G391" s="235"/>
    </row>
    <row r="392" spans="1:17" s="15" customFormat="1" ht="16.5" customHeight="1" x14ac:dyDescent="0.25">
      <c r="A392" s="233"/>
      <c r="B392" s="233"/>
      <c r="C392" s="217">
        <v>7</v>
      </c>
      <c r="D392" s="213" t="s">
        <v>1125</v>
      </c>
      <c r="E392" s="266">
        <v>5</v>
      </c>
      <c r="F392" s="72"/>
      <c r="G392" s="235"/>
    </row>
    <row r="393" spans="1:17" s="15" customFormat="1" ht="16.5" customHeight="1" x14ac:dyDescent="0.25">
      <c r="A393" s="233"/>
      <c r="B393" s="233"/>
      <c r="C393" s="217"/>
      <c r="D393" s="231" t="s">
        <v>495</v>
      </c>
      <c r="E393" s="267">
        <f>IF(E392&lt;=2,0,IF(E392&lt;5,(1.33*E392)+(-2.67),4))</f>
        <v>4</v>
      </c>
      <c r="F393" s="72"/>
      <c r="G393" s="235"/>
    </row>
    <row r="394" spans="1:17" s="15" customFormat="1" ht="55.5" customHeight="1" x14ac:dyDescent="0.25">
      <c r="A394" s="233"/>
      <c r="B394" s="233"/>
      <c r="C394" s="667" t="s">
        <v>1130</v>
      </c>
      <c r="D394" s="668"/>
      <c r="E394" s="293">
        <f>(E381+E383+E385+E387+E389+E391+E393)/7</f>
        <v>4</v>
      </c>
      <c r="F394" s="72"/>
      <c r="G394" s="235"/>
    </row>
    <row r="395" spans="1:17" s="15" customFormat="1" ht="15.75" thickBot="1" x14ac:dyDescent="0.3">
      <c r="A395" s="233"/>
      <c r="B395" s="233"/>
      <c r="C395" s="653" t="s">
        <v>103</v>
      </c>
      <c r="D395" s="654"/>
      <c r="E395" s="297">
        <f>E394</f>
        <v>4</v>
      </c>
      <c r="F395" s="236"/>
      <c r="G395" s="237"/>
    </row>
    <row r="396" spans="1:17" ht="18.75" x14ac:dyDescent="0.3">
      <c r="A396" s="255"/>
      <c r="B396" s="255"/>
      <c r="C396" s="72"/>
      <c r="D396" s="72"/>
      <c r="E396" s="258"/>
      <c r="G396" s="93"/>
      <c r="P396" s="201"/>
    </row>
    <row r="397" spans="1:17" ht="19.5" thickBot="1" x14ac:dyDescent="0.35">
      <c r="A397" s="255"/>
      <c r="B397" s="255"/>
      <c r="C397" s="72"/>
      <c r="D397" s="72"/>
      <c r="E397" s="258"/>
      <c r="G397" s="93"/>
      <c r="P397" s="201"/>
    </row>
    <row r="398" spans="1:17" ht="77.25" customHeight="1" thickBot="1" x14ac:dyDescent="0.35">
      <c r="A398" s="255">
        <v>40</v>
      </c>
      <c r="B398" s="255" t="s">
        <v>519</v>
      </c>
      <c r="C398" s="659" t="s">
        <v>1045</v>
      </c>
      <c r="D398" s="660"/>
      <c r="E398" s="261">
        <v>4</v>
      </c>
      <c r="G398" s="223" t="s">
        <v>1046</v>
      </c>
      <c r="P398" s="201"/>
    </row>
    <row r="399" spans="1:17" s="224" customFormat="1" ht="60.75" customHeight="1" x14ac:dyDescent="0.25">
      <c r="A399" s="258"/>
      <c r="B399" s="258"/>
      <c r="C399" s="217">
        <v>1</v>
      </c>
      <c r="D399" s="220" t="s">
        <v>520</v>
      </c>
      <c r="E399" s="294"/>
      <c r="G399" s="225"/>
      <c r="H399" s="61"/>
      <c r="M399" s="226"/>
      <c r="N399" s="226"/>
      <c r="O399" s="226"/>
      <c r="P399" s="227"/>
      <c r="Q399" s="226"/>
    </row>
    <row r="400" spans="1:17" s="224" customFormat="1" ht="60.75" customHeight="1" x14ac:dyDescent="0.25">
      <c r="A400" s="258"/>
      <c r="B400" s="258"/>
      <c r="C400" s="217">
        <v>2</v>
      </c>
      <c r="D400" s="220" t="s">
        <v>521</v>
      </c>
      <c r="E400" s="294"/>
      <c r="G400" s="225"/>
      <c r="H400" s="61"/>
      <c r="M400" s="226"/>
      <c r="N400" s="226"/>
      <c r="O400" s="226"/>
      <c r="P400" s="227"/>
      <c r="Q400" s="226"/>
    </row>
    <row r="401" spans="1:17" s="224" customFormat="1" ht="60.75" customHeight="1" x14ac:dyDescent="0.25">
      <c r="A401" s="258"/>
      <c r="B401" s="258"/>
      <c r="C401" s="217">
        <v>3</v>
      </c>
      <c r="D401" s="361" t="s">
        <v>1047</v>
      </c>
      <c r="E401" s="294"/>
      <c r="G401" s="225"/>
      <c r="H401" s="61"/>
      <c r="M401" s="226"/>
      <c r="N401" s="226"/>
      <c r="O401" s="226"/>
      <c r="P401" s="227"/>
      <c r="Q401" s="226"/>
    </row>
    <row r="402" spans="1:17" s="224" customFormat="1" ht="60.75" customHeight="1" x14ac:dyDescent="0.25">
      <c r="A402" s="258"/>
      <c r="B402" s="258"/>
      <c r="C402" s="217">
        <v>4</v>
      </c>
      <c r="D402" s="220" t="s">
        <v>522</v>
      </c>
      <c r="E402" s="294"/>
      <c r="G402" s="225"/>
      <c r="H402" s="61"/>
      <c r="M402" s="226"/>
      <c r="N402" s="226"/>
      <c r="O402" s="226"/>
      <c r="P402" s="227"/>
      <c r="Q402" s="226"/>
    </row>
    <row r="403" spans="1:17" ht="19.5" thickBot="1" x14ac:dyDescent="0.35">
      <c r="A403" s="255"/>
      <c r="B403" s="255"/>
      <c r="C403" s="645" t="s">
        <v>103</v>
      </c>
      <c r="D403" s="646"/>
      <c r="E403" s="263">
        <f>E398</f>
        <v>4</v>
      </c>
      <c r="G403" s="93"/>
      <c r="P403" s="201"/>
    </row>
    <row r="404" spans="1:17" ht="19.5" thickBot="1" x14ac:dyDescent="0.35">
      <c r="A404" s="255"/>
      <c r="B404" s="255"/>
      <c r="C404" s="72"/>
      <c r="D404" s="72"/>
      <c r="E404" s="258"/>
      <c r="G404" s="93"/>
      <c r="P404" s="201"/>
    </row>
    <row r="405" spans="1:17" s="15" customFormat="1" ht="46.5" customHeight="1" thickBot="1" x14ac:dyDescent="0.35">
      <c r="A405" s="255">
        <v>41</v>
      </c>
      <c r="B405" s="259">
        <v>5.2</v>
      </c>
      <c r="C405" s="647" t="s">
        <v>1041</v>
      </c>
      <c r="D405" s="648"/>
      <c r="E405" s="298"/>
      <c r="F405" s="30"/>
      <c r="G405" s="99" t="str">
        <f>IF(E406=0,"program studi tidak memiliki dosen tetap.",D408&amp;" = ("&amp;E407&amp;"/"&amp;E406&amp;") x 100% = "&amp;TEXT(E408,"0.00%."))</f>
        <v>Persentase banyaknya modul ditinjau tiga tahun terakhir = (40/50) x 100% = 80.00%.</v>
      </c>
      <c r="H405" s="228"/>
      <c r="I405" s="30"/>
      <c r="J405" s="30"/>
      <c r="K405" s="31"/>
      <c r="L405" s="30"/>
      <c r="M405" s="8"/>
      <c r="N405" s="229"/>
      <c r="O405" s="8"/>
      <c r="P405" s="8"/>
      <c r="Q405" s="8"/>
    </row>
    <row r="406" spans="1:17" s="15" customFormat="1" ht="16.5" customHeight="1" x14ac:dyDescent="0.3">
      <c r="A406" s="255"/>
      <c r="B406" s="255"/>
      <c r="C406" s="649" t="s">
        <v>525</v>
      </c>
      <c r="D406" s="650"/>
      <c r="E406" s="304">
        <v>50</v>
      </c>
      <c r="F406" s="30"/>
      <c r="G406" s="651"/>
      <c r="H406" s="34"/>
      <c r="I406" s="30"/>
      <c r="J406" s="30"/>
      <c r="K406" s="31"/>
      <c r="L406" s="30"/>
      <c r="M406" s="8"/>
      <c r="N406" s="229"/>
      <c r="O406" s="8"/>
      <c r="P406" s="8"/>
      <c r="Q406" s="8"/>
    </row>
    <row r="407" spans="1:17" s="15" customFormat="1" ht="16.5" customHeight="1" thickBot="1" x14ac:dyDescent="0.35">
      <c r="A407" s="255"/>
      <c r="B407" s="255"/>
      <c r="C407" s="649" t="s">
        <v>526</v>
      </c>
      <c r="D407" s="650"/>
      <c r="E407" s="304">
        <v>40</v>
      </c>
      <c r="F407" s="30"/>
      <c r="G407" s="652"/>
      <c r="H407" s="34"/>
      <c r="I407" s="30"/>
      <c r="J407" s="30"/>
      <c r="K407" s="31"/>
      <c r="L407" s="30"/>
      <c r="M407" s="8"/>
      <c r="N407" s="229"/>
      <c r="O407" s="8"/>
      <c r="P407" s="8"/>
      <c r="Q407" s="8"/>
    </row>
    <row r="408" spans="1:17" s="15" customFormat="1" ht="18.75" customHeight="1" x14ac:dyDescent="0.3">
      <c r="A408" s="255"/>
      <c r="B408" s="255"/>
      <c r="C408" s="230" t="s">
        <v>523</v>
      </c>
      <c r="D408" s="231" t="s">
        <v>524</v>
      </c>
      <c r="E408" s="299">
        <f>IF(E406=0,0,E407/E406)</f>
        <v>0.8</v>
      </c>
      <c r="F408" s="224"/>
      <c r="G408" s="232"/>
      <c r="H408" s="34"/>
      <c r="I408" s="30"/>
      <c r="J408" s="30"/>
      <c r="K408" s="31"/>
      <c r="L408" s="30"/>
      <c r="M408" s="8"/>
      <c r="N408" s="229"/>
      <c r="O408" s="8"/>
      <c r="P408" s="8"/>
      <c r="Q408" s="8"/>
    </row>
    <row r="409" spans="1:17" s="15" customFormat="1" ht="19.5" thickBot="1" x14ac:dyDescent="0.35">
      <c r="A409" s="255"/>
      <c r="B409" s="255"/>
      <c r="C409" s="653" t="s">
        <v>103</v>
      </c>
      <c r="D409" s="654"/>
      <c r="E409" s="297">
        <f>IF(E408=0%,0,IF(E408&lt;75%,1+4*E408,4))</f>
        <v>4</v>
      </c>
      <c r="F409" s="30"/>
      <c r="G409" s="93"/>
      <c r="H409" s="34"/>
      <c r="I409" s="30"/>
      <c r="J409" s="30"/>
      <c r="K409" s="31"/>
      <c r="L409" s="30"/>
      <c r="M409" s="8"/>
      <c r="N409" s="229"/>
      <c r="O409" s="8"/>
      <c r="P409" s="8"/>
      <c r="Q409" s="8"/>
    </row>
    <row r="410" spans="1:17" ht="19.5" thickBot="1" x14ac:dyDescent="0.35">
      <c r="A410" s="255"/>
      <c r="B410" s="255"/>
      <c r="C410" s="72"/>
      <c r="D410" s="72"/>
      <c r="E410" s="258"/>
      <c r="G410" s="93"/>
      <c r="P410" s="201"/>
    </row>
    <row r="411" spans="1:17" s="15" customFormat="1" ht="39.75" customHeight="1" thickBot="1" x14ac:dyDescent="0.35">
      <c r="A411" s="255">
        <v>42</v>
      </c>
      <c r="B411" s="259">
        <v>5.3</v>
      </c>
      <c r="C411" s="647" t="s">
        <v>1052</v>
      </c>
      <c r="D411" s="648"/>
      <c r="E411" s="298"/>
      <c r="F411" s="30"/>
      <c r="G411" s="99" t="str">
        <f>IF(E412=0,"program studi tidak memiliki dosen tetap.",D414&amp;" = ("&amp;E413&amp;"/"&amp;E412&amp;") x 100% = "&amp;TEXT(E414,"0.00%."))</f>
        <v>Persentase morbiditas dan mortalitas dalam satu tahun terakhir = (10/50) x 100% = 20.00%.</v>
      </c>
      <c r="H411" s="228"/>
      <c r="I411" s="208"/>
      <c r="J411" s="30"/>
      <c r="K411" s="31"/>
      <c r="L411" s="30"/>
      <c r="M411" s="8"/>
      <c r="N411" s="229"/>
      <c r="O411" s="8"/>
      <c r="P411" s="8"/>
      <c r="Q411" s="8"/>
    </row>
    <row r="412" spans="1:17" s="15" customFormat="1" ht="16.5" customHeight="1" x14ac:dyDescent="0.3">
      <c r="A412" s="255"/>
      <c r="B412" s="255"/>
      <c r="C412" s="649" t="s">
        <v>528</v>
      </c>
      <c r="D412" s="650"/>
      <c r="E412" s="304">
        <v>50</v>
      </c>
      <c r="F412" s="30"/>
      <c r="G412" s="651"/>
      <c r="H412" s="34"/>
      <c r="I412" s="30"/>
      <c r="J412" s="30"/>
      <c r="K412" s="31"/>
      <c r="L412" s="30"/>
      <c r="M412" s="8"/>
      <c r="N412" s="229"/>
      <c r="O412" s="8"/>
      <c r="P412" s="8"/>
      <c r="Q412" s="8"/>
    </row>
    <row r="413" spans="1:17" s="15" customFormat="1" ht="32.25" customHeight="1" thickBot="1" x14ac:dyDescent="0.35">
      <c r="A413" s="255"/>
      <c r="B413" s="255"/>
      <c r="C413" s="649" t="s">
        <v>529</v>
      </c>
      <c r="D413" s="650"/>
      <c r="E413" s="304">
        <v>10</v>
      </c>
      <c r="F413" s="30"/>
      <c r="G413" s="652"/>
      <c r="H413" s="34"/>
      <c r="I413" s="30"/>
      <c r="J413" s="30"/>
      <c r="K413" s="31"/>
      <c r="L413" s="30"/>
      <c r="M413" s="8"/>
      <c r="N413" s="229"/>
      <c r="O413" s="8"/>
      <c r="P413" s="8"/>
      <c r="Q413" s="8"/>
    </row>
    <row r="414" spans="1:17" s="15" customFormat="1" ht="33" customHeight="1" x14ac:dyDescent="0.3">
      <c r="A414" s="255"/>
      <c r="B414" s="255"/>
      <c r="C414" s="230" t="s">
        <v>527</v>
      </c>
      <c r="D414" s="231" t="s">
        <v>1053</v>
      </c>
      <c r="E414" s="299">
        <f>IF(E412=0,0,E413/E412)</f>
        <v>0.2</v>
      </c>
      <c r="F414" s="224"/>
      <c r="G414" s="232"/>
      <c r="H414" s="34"/>
      <c r="I414" s="30"/>
      <c r="J414" s="30"/>
      <c r="K414" s="31"/>
      <c r="L414" s="30"/>
      <c r="M414" s="8"/>
      <c r="N414" s="229"/>
      <c r="O414" s="8"/>
      <c r="P414" s="8"/>
      <c r="Q414" s="8"/>
    </row>
    <row r="415" spans="1:17" s="15" customFormat="1" ht="19.5" thickBot="1" x14ac:dyDescent="0.35">
      <c r="A415" s="255"/>
      <c r="B415" s="255"/>
      <c r="C415" s="653" t="s">
        <v>103</v>
      </c>
      <c r="D415" s="654"/>
      <c r="E415" s="297">
        <f>IF(E414&lt;=20%,4,IF(E414&lt;50%,(20-40*E414)/3,0))</f>
        <v>4</v>
      </c>
      <c r="F415" s="30"/>
      <c r="G415" s="93" t="s">
        <v>530</v>
      </c>
      <c r="H415" s="34"/>
      <c r="I415" s="30"/>
      <c r="J415" s="30"/>
      <c r="K415" s="31"/>
      <c r="L415" s="30"/>
      <c r="M415" s="8"/>
      <c r="N415" s="229"/>
      <c r="O415" s="8"/>
      <c r="P415" s="8"/>
      <c r="Q415" s="8"/>
    </row>
    <row r="416" spans="1:17" ht="19.5" thickBot="1" x14ac:dyDescent="0.35">
      <c r="A416" s="255"/>
      <c r="B416" s="255"/>
      <c r="C416" s="72"/>
      <c r="D416" s="72"/>
      <c r="E416" s="258"/>
      <c r="G416" s="93"/>
      <c r="P416" s="201"/>
    </row>
    <row r="417" spans="1:17" ht="77.25" customHeight="1" thickBot="1" x14ac:dyDescent="0.35">
      <c r="A417" s="255">
        <v>43</v>
      </c>
      <c r="B417" s="255" t="s">
        <v>531</v>
      </c>
      <c r="C417" s="659" t="s">
        <v>533</v>
      </c>
      <c r="D417" s="660"/>
      <c r="E417" s="261">
        <v>4</v>
      </c>
      <c r="G417" s="223" t="s">
        <v>532</v>
      </c>
      <c r="P417" s="201"/>
    </row>
    <row r="418" spans="1:17" s="224" customFormat="1" ht="21" customHeight="1" x14ac:dyDescent="0.25">
      <c r="A418" s="258"/>
      <c r="B418" s="258"/>
      <c r="C418" s="217">
        <v>1</v>
      </c>
      <c r="D418" s="220" t="s">
        <v>534</v>
      </c>
      <c r="E418" s="294"/>
      <c r="G418" s="225"/>
      <c r="H418" s="61"/>
      <c r="M418" s="226"/>
      <c r="N418" s="226"/>
      <c r="O418" s="226"/>
      <c r="P418" s="227"/>
      <c r="Q418" s="226"/>
    </row>
    <row r="419" spans="1:17" s="224" customFormat="1" ht="30.75" customHeight="1" x14ac:dyDescent="0.25">
      <c r="A419" s="258"/>
      <c r="B419" s="258"/>
      <c r="C419" s="217">
        <v>2</v>
      </c>
      <c r="D419" s="361" t="s">
        <v>1048</v>
      </c>
      <c r="E419" s="294"/>
      <c r="G419" s="225"/>
      <c r="H419" s="61"/>
      <c r="M419" s="226"/>
      <c r="N419" s="226"/>
      <c r="O419" s="226"/>
      <c r="P419" s="227"/>
      <c r="Q419" s="226"/>
    </row>
    <row r="420" spans="1:17" s="224" customFormat="1" ht="30.75" customHeight="1" x14ac:dyDescent="0.25">
      <c r="A420" s="258"/>
      <c r="B420" s="258"/>
      <c r="C420" s="217">
        <v>3</v>
      </c>
      <c r="D420" s="361" t="s">
        <v>1049</v>
      </c>
      <c r="E420" s="294"/>
      <c r="G420" s="225"/>
      <c r="H420" s="61"/>
      <c r="M420" s="226"/>
      <c r="N420" s="226"/>
      <c r="O420" s="226"/>
      <c r="P420" s="227"/>
      <c r="Q420" s="226"/>
    </row>
    <row r="421" spans="1:17" s="224" customFormat="1" ht="30.75" customHeight="1" x14ac:dyDescent="0.25">
      <c r="A421" s="258"/>
      <c r="B421" s="258"/>
      <c r="C421" s="217">
        <v>4</v>
      </c>
      <c r="D421" s="220" t="s">
        <v>535</v>
      </c>
      <c r="E421" s="294"/>
      <c r="G421" s="225"/>
      <c r="H421" s="61"/>
      <c r="M421" s="226"/>
      <c r="N421" s="226"/>
      <c r="O421" s="226"/>
      <c r="P421" s="227"/>
      <c r="Q421" s="226"/>
    </row>
    <row r="422" spans="1:17" ht="19.5" thickBot="1" x14ac:dyDescent="0.35">
      <c r="A422" s="255"/>
      <c r="B422" s="255"/>
      <c r="C422" s="645" t="s">
        <v>103</v>
      </c>
      <c r="D422" s="646"/>
      <c r="E422" s="263">
        <f>E417</f>
        <v>4</v>
      </c>
      <c r="G422" s="93"/>
      <c r="P422" s="201"/>
    </row>
    <row r="423" spans="1:17" ht="19.5" thickBot="1" x14ac:dyDescent="0.35">
      <c r="A423" s="255"/>
      <c r="B423" s="255"/>
      <c r="C423" s="72"/>
      <c r="D423" s="72"/>
      <c r="E423" s="258"/>
      <c r="G423" s="93"/>
      <c r="P423" s="201"/>
    </row>
    <row r="424" spans="1:17" ht="77.25" customHeight="1" thickBot="1" x14ac:dyDescent="0.35">
      <c r="A424" s="255">
        <v>44</v>
      </c>
      <c r="B424" s="255" t="s">
        <v>538</v>
      </c>
      <c r="C424" s="659" t="s">
        <v>536</v>
      </c>
      <c r="D424" s="660"/>
      <c r="E424" s="261">
        <v>4</v>
      </c>
      <c r="G424" s="223" t="s">
        <v>537</v>
      </c>
      <c r="P424" s="201"/>
    </row>
    <row r="425" spans="1:17" s="224" customFormat="1" ht="21" customHeight="1" x14ac:dyDescent="0.25">
      <c r="A425" s="258"/>
      <c r="B425" s="258"/>
      <c r="C425" s="217">
        <v>1</v>
      </c>
      <c r="D425" s="220" t="s">
        <v>944</v>
      </c>
      <c r="E425" s="294"/>
      <c r="G425" s="225"/>
      <c r="H425" s="61"/>
      <c r="M425" s="226"/>
      <c r="N425" s="226"/>
      <c r="O425" s="226"/>
      <c r="P425" s="227"/>
      <c r="Q425" s="226"/>
    </row>
    <row r="426" spans="1:17" s="224" customFormat="1" ht="30.75" customHeight="1" x14ac:dyDescent="0.25">
      <c r="A426" s="258"/>
      <c r="B426" s="258"/>
      <c r="C426" s="217">
        <v>2</v>
      </c>
      <c r="D426" s="220" t="s">
        <v>945</v>
      </c>
      <c r="E426" s="294"/>
      <c r="G426" s="225"/>
      <c r="H426" s="61"/>
      <c r="M426" s="226"/>
      <c r="N426" s="226"/>
      <c r="O426" s="226"/>
      <c r="P426" s="227"/>
      <c r="Q426" s="226"/>
    </row>
    <row r="427" spans="1:17" s="224" customFormat="1" ht="30.75" customHeight="1" x14ac:dyDescent="0.25">
      <c r="A427" s="258"/>
      <c r="B427" s="258"/>
      <c r="C427" s="217">
        <v>3</v>
      </c>
      <c r="D427" s="220" t="s">
        <v>946</v>
      </c>
      <c r="E427" s="294"/>
      <c r="G427" s="225"/>
      <c r="H427" s="61"/>
      <c r="M427" s="226"/>
      <c r="N427" s="226"/>
      <c r="O427" s="226"/>
      <c r="P427" s="227"/>
      <c r="Q427" s="226"/>
    </row>
    <row r="428" spans="1:17" s="224" customFormat="1" ht="30.75" customHeight="1" x14ac:dyDescent="0.25">
      <c r="A428" s="258"/>
      <c r="B428" s="258"/>
      <c r="C428" s="217">
        <v>4</v>
      </c>
      <c r="D428" s="220" t="s">
        <v>947</v>
      </c>
      <c r="E428" s="294"/>
      <c r="G428" s="225"/>
      <c r="H428" s="61"/>
      <c r="M428" s="226"/>
      <c r="N428" s="226"/>
      <c r="O428" s="226"/>
      <c r="P428" s="227"/>
      <c r="Q428" s="226"/>
    </row>
    <row r="429" spans="1:17" ht="19.5" thickBot="1" x14ac:dyDescent="0.35">
      <c r="A429" s="255"/>
      <c r="B429" s="255"/>
      <c r="C429" s="645" t="s">
        <v>103</v>
      </c>
      <c r="D429" s="646"/>
      <c r="E429" s="263">
        <f>E424</f>
        <v>4</v>
      </c>
      <c r="G429" s="93"/>
      <c r="P429" s="201"/>
    </row>
    <row r="430" spans="1:17" ht="19.5" thickBot="1" x14ac:dyDescent="0.35">
      <c r="A430" s="255"/>
      <c r="B430" s="255"/>
      <c r="C430" s="72"/>
      <c r="D430" s="72"/>
      <c r="E430" s="258"/>
      <c r="G430" s="93"/>
      <c r="P430" s="201"/>
    </row>
    <row r="431" spans="1:17" s="15" customFormat="1" ht="39.75" customHeight="1" thickBot="1" x14ac:dyDescent="0.35">
      <c r="A431" s="255">
        <v>45</v>
      </c>
      <c r="B431" s="259" t="s">
        <v>539</v>
      </c>
      <c r="C431" s="647" t="s">
        <v>542</v>
      </c>
      <c r="D431" s="648"/>
      <c r="E431" s="298"/>
      <c r="F431" s="30"/>
      <c r="G431" s="99" t="str">
        <f>IF(E432=0,"Tidak ada pembimbingan karya tulis ilmiah. ",D434&amp;" = ("&amp;E433&amp;"/"&amp;E432&amp;")  = "&amp;TEXT(E434,"0.00."))</f>
        <v>Rata-rata peserta didik per dosen pembimbing karya tulis ilmiah  = (20/30)  = 0.67.</v>
      </c>
      <c r="H431" s="228"/>
      <c r="I431" s="208"/>
      <c r="J431" s="30"/>
      <c r="K431" s="31"/>
      <c r="L431" s="30"/>
      <c r="M431" s="8"/>
      <c r="N431" s="229"/>
      <c r="O431" s="8"/>
      <c r="P431" s="8"/>
      <c r="Q431" s="8"/>
    </row>
    <row r="432" spans="1:17" s="15" customFormat="1" ht="18.75" customHeight="1" x14ac:dyDescent="0.3">
      <c r="A432" s="255"/>
      <c r="B432" s="255"/>
      <c r="C432" s="649" t="s">
        <v>543</v>
      </c>
      <c r="D432" s="650"/>
      <c r="E432" s="304">
        <v>30</v>
      </c>
      <c r="F432" s="30"/>
      <c r="G432" s="651"/>
      <c r="H432" s="34"/>
      <c r="I432" s="30"/>
      <c r="J432" s="30"/>
      <c r="K432" s="31"/>
      <c r="L432" s="30"/>
      <c r="M432" s="8"/>
      <c r="N432" s="229"/>
      <c r="O432" s="8"/>
      <c r="P432" s="8"/>
      <c r="Q432" s="8"/>
    </row>
    <row r="433" spans="1:17" s="15" customFormat="1" ht="18.75" customHeight="1" thickBot="1" x14ac:dyDescent="0.35">
      <c r="A433" s="255"/>
      <c r="B433" s="255"/>
      <c r="C433" s="649" t="s">
        <v>544</v>
      </c>
      <c r="D433" s="650"/>
      <c r="E433" s="304">
        <v>20</v>
      </c>
      <c r="F433" s="30"/>
      <c r="G433" s="652"/>
      <c r="H433" s="34"/>
      <c r="I433" s="30"/>
      <c r="J433" s="30"/>
      <c r="K433" s="31"/>
      <c r="L433" s="30"/>
      <c r="M433" s="8"/>
      <c r="N433" s="229"/>
      <c r="O433" s="8"/>
      <c r="P433" s="8"/>
      <c r="Q433" s="8"/>
    </row>
    <row r="434" spans="1:17" s="15" customFormat="1" ht="18.75" customHeight="1" x14ac:dyDescent="0.3">
      <c r="A434" s="255"/>
      <c r="B434" s="255"/>
      <c r="C434" s="230" t="s">
        <v>540</v>
      </c>
      <c r="D434" s="231" t="s">
        <v>541</v>
      </c>
      <c r="E434" s="300">
        <f>E433/E432</f>
        <v>0.66666666666666663</v>
      </c>
      <c r="F434" s="224"/>
      <c r="G434" s="232"/>
      <c r="H434" s="34"/>
      <c r="I434" s="30"/>
      <c r="J434" s="30"/>
      <c r="K434" s="31"/>
      <c r="L434" s="30"/>
      <c r="M434" s="8"/>
      <c r="N434" s="229"/>
      <c r="O434" s="8"/>
      <c r="P434" s="8"/>
      <c r="Q434" s="8"/>
    </row>
    <row r="435" spans="1:17" s="15" customFormat="1" ht="19.5" thickBot="1" x14ac:dyDescent="0.35">
      <c r="A435" s="255"/>
      <c r="B435" s="255"/>
      <c r="C435" s="653" t="s">
        <v>103</v>
      </c>
      <c r="D435" s="654"/>
      <c r="E435" s="297">
        <f>IF(E434=0,0,IF(E434&lt;=4,4,IF(E434&lt;20,5-E434/4,0)))</f>
        <v>4</v>
      </c>
      <c r="F435" s="30"/>
      <c r="G435" s="93"/>
      <c r="H435" s="34"/>
      <c r="I435" s="30"/>
      <c r="J435" s="30"/>
      <c r="K435" s="31"/>
      <c r="L435" s="30"/>
      <c r="M435" s="8"/>
      <c r="N435" s="229"/>
      <c r="O435" s="8"/>
      <c r="P435" s="8"/>
      <c r="Q435" s="8"/>
    </row>
    <row r="436" spans="1:17" ht="19.5" thickBot="1" x14ac:dyDescent="0.35">
      <c r="A436" s="255"/>
      <c r="B436" s="255"/>
      <c r="C436" s="72"/>
      <c r="D436" s="72"/>
      <c r="E436" s="258"/>
      <c r="G436" s="93"/>
      <c r="P436" s="201"/>
    </row>
    <row r="437" spans="1:17" ht="81.75" customHeight="1" thickBot="1" x14ac:dyDescent="0.35">
      <c r="A437" s="255">
        <v>46</v>
      </c>
      <c r="B437" s="255" t="s">
        <v>545</v>
      </c>
      <c r="C437" s="659" t="s">
        <v>546</v>
      </c>
      <c r="D437" s="660"/>
      <c r="E437" s="261">
        <v>4</v>
      </c>
      <c r="G437" s="223" t="s">
        <v>547</v>
      </c>
      <c r="I437" s="208"/>
      <c r="P437" s="201"/>
    </row>
    <row r="438" spans="1:17" ht="18.75" customHeight="1" x14ac:dyDescent="0.3">
      <c r="A438" s="255"/>
      <c r="B438" s="255"/>
      <c r="C438" s="217">
        <v>0</v>
      </c>
      <c r="D438" s="220" t="s">
        <v>548</v>
      </c>
      <c r="E438" s="292"/>
      <c r="G438" s="93"/>
      <c r="P438" s="201"/>
    </row>
    <row r="439" spans="1:17" ht="32.25" customHeight="1" x14ac:dyDescent="0.3">
      <c r="A439" s="255"/>
      <c r="B439" s="255"/>
      <c r="C439" s="217">
        <v>1</v>
      </c>
      <c r="D439" s="361" t="s">
        <v>1042</v>
      </c>
      <c r="E439" s="292"/>
      <c r="G439" s="93"/>
      <c r="P439" s="201"/>
    </row>
    <row r="440" spans="1:17" ht="32.25" customHeight="1" x14ac:dyDescent="0.3">
      <c r="A440" s="255"/>
      <c r="B440" s="255"/>
      <c r="C440" s="217">
        <v>2</v>
      </c>
      <c r="D440" s="220" t="s">
        <v>549</v>
      </c>
      <c r="E440" s="292"/>
      <c r="G440" s="93"/>
      <c r="P440" s="201"/>
    </row>
    <row r="441" spans="1:17" ht="32.25" customHeight="1" x14ac:dyDescent="0.3">
      <c r="A441" s="255"/>
      <c r="B441" s="255"/>
      <c r="C441" s="217">
        <v>3</v>
      </c>
      <c r="D441" s="220" t="s">
        <v>575</v>
      </c>
      <c r="E441" s="292"/>
      <c r="G441" s="93"/>
      <c r="P441" s="201"/>
    </row>
    <row r="442" spans="1:17" ht="32.25" customHeight="1" x14ac:dyDescent="0.3">
      <c r="A442" s="255"/>
      <c r="B442" s="255"/>
      <c r="C442" s="217">
        <v>4</v>
      </c>
      <c r="D442" s="220" t="s">
        <v>550</v>
      </c>
      <c r="E442" s="292"/>
      <c r="G442" s="93"/>
      <c r="P442" s="201"/>
    </row>
    <row r="443" spans="1:17" ht="19.5" thickBot="1" x14ac:dyDescent="0.35">
      <c r="A443" s="255"/>
      <c r="B443" s="255"/>
      <c r="C443" s="645" t="s">
        <v>103</v>
      </c>
      <c r="D443" s="646"/>
      <c r="E443" s="263">
        <f>E437</f>
        <v>4</v>
      </c>
      <c r="G443" s="93"/>
      <c r="P443" s="201"/>
    </row>
    <row r="444" spans="1:17" ht="19.5" thickBot="1" x14ac:dyDescent="0.35">
      <c r="A444" s="255"/>
      <c r="B444" s="255"/>
      <c r="C444" s="72"/>
      <c r="D444" s="72"/>
      <c r="E444" s="258"/>
      <c r="G444" s="93"/>
      <c r="P444" s="201"/>
    </row>
    <row r="445" spans="1:17" s="15" customFormat="1" ht="38.25" customHeight="1" thickBot="1" x14ac:dyDescent="0.35">
      <c r="A445" s="255">
        <v>47</v>
      </c>
      <c r="B445" s="259" t="s">
        <v>551</v>
      </c>
      <c r="C445" s="661" t="s">
        <v>554</v>
      </c>
      <c r="D445" s="672"/>
      <c r="E445" s="270"/>
      <c r="F445" s="30"/>
      <c r="G445" s="99" t="str">
        <f>D446&amp;" = "&amp;E446&amp;" kali. "</f>
        <v xml:space="preserve">Rata-rata jumlah bimbingan operasi/tindakan per tahun = 145 kali. </v>
      </c>
      <c r="H445" s="228"/>
      <c r="I445" s="208"/>
      <c r="J445" s="30"/>
      <c r="K445" s="31"/>
      <c r="L445" s="30"/>
      <c r="M445" s="8"/>
      <c r="N445" s="229"/>
      <c r="O445" s="8"/>
      <c r="P445" s="8"/>
      <c r="Q445" s="8"/>
    </row>
    <row r="446" spans="1:17" s="15" customFormat="1" ht="31.5" customHeight="1" x14ac:dyDescent="0.3">
      <c r="A446" s="255"/>
      <c r="B446" s="255"/>
      <c r="C446" s="217" t="s">
        <v>552</v>
      </c>
      <c r="D446" s="231" t="s">
        <v>553</v>
      </c>
      <c r="E446" s="304">
        <v>145</v>
      </c>
      <c r="F446" s="30"/>
      <c r="G446" s="651"/>
      <c r="H446" s="34"/>
      <c r="I446" s="30"/>
      <c r="J446" s="30"/>
      <c r="K446" s="31"/>
      <c r="L446" s="30"/>
      <c r="M446" s="8"/>
      <c r="N446" s="229"/>
      <c r="O446" s="8"/>
      <c r="P446" s="8"/>
      <c r="Q446" s="8"/>
    </row>
    <row r="447" spans="1:17" s="15" customFormat="1" ht="19.5" thickBot="1" x14ac:dyDescent="0.35">
      <c r="A447" s="255"/>
      <c r="B447" s="255"/>
      <c r="C447" s="653" t="s">
        <v>103</v>
      </c>
      <c r="D447" s="654"/>
      <c r="E447" s="297">
        <f>IF(E446&lt;=80,1,IF(E446&lt;140,E446/20-3,4))</f>
        <v>4</v>
      </c>
      <c r="F447" s="30"/>
      <c r="G447" s="652"/>
      <c r="H447" s="34"/>
      <c r="I447" s="30"/>
      <c r="J447" s="30"/>
      <c r="K447" s="31"/>
      <c r="L447" s="30"/>
      <c r="M447" s="8"/>
      <c r="N447" s="229"/>
      <c r="O447" s="8"/>
      <c r="P447" s="8"/>
      <c r="Q447" s="8"/>
    </row>
    <row r="448" spans="1:17" ht="19.5" thickBot="1" x14ac:dyDescent="0.35">
      <c r="A448" s="255"/>
      <c r="B448" s="255"/>
      <c r="C448" s="72"/>
      <c r="D448" s="72"/>
      <c r="E448" s="258"/>
      <c r="G448" s="93"/>
      <c r="P448" s="201"/>
    </row>
    <row r="449" spans="1:17" ht="92.25" customHeight="1" thickBot="1" x14ac:dyDescent="0.35">
      <c r="A449" s="255">
        <v>48</v>
      </c>
      <c r="B449" s="255" t="s">
        <v>555</v>
      </c>
      <c r="C449" s="659" t="s">
        <v>556</v>
      </c>
      <c r="D449" s="660"/>
      <c r="E449" s="261">
        <v>4</v>
      </c>
      <c r="G449" s="223" t="s">
        <v>557</v>
      </c>
      <c r="I449" s="208"/>
      <c r="P449" s="201"/>
    </row>
    <row r="450" spans="1:17" s="224" customFormat="1" ht="30" customHeight="1" x14ac:dyDescent="0.25">
      <c r="A450" s="258"/>
      <c r="B450" s="258"/>
      <c r="C450" s="217">
        <v>1</v>
      </c>
      <c r="D450" s="220" t="s">
        <v>558</v>
      </c>
      <c r="E450" s="294"/>
      <c r="G450" s="225"/>
      <c r="H450" s="61"/>
      <c r="M450" s="226"/>
      <c r="N450" s="226"/>
      <c r="O450" s="226"/>
      <c r="P450" s="227"/>
      <c r="Q450" s="226"/>
    </row>
    <row r="451" spans="1:17" s="224" customFormat="1" ht="30" customHeight="1" x14ac:dyDescent="0.25">
      <c r="A451" s="258"/>
      <c r="B451" s="258"/>
      <c r="C451" s="217">
        <v>2</v>
      </c>
      <c r="D451" s="220" t="s">
        <v>559</v>
      </c>
      <c r="E451" s="294"/>
      <c r="G451" s="225"/>
      <c r="H451" s="61"/>
      <c r="M451" s="226"/>
      <c r="N451" s="226"/>
      <c r="O451" s="226"/>
      <c r="P451" s="227"/>
      <c r="Q451" s="226"/>
    </row>
    <row r="452" spans="1:17" s="224" customFormat="1" ht="30" customHeight="1" x14ac:dyDescent="0.25">
      <c r="A452" s="258"/>
      <c r="B452" s="258"/>
      <c r="C452" s="217">
        <v>3</v>
      </c>
      <c r="D452" s="220" t="s">
        <v>560</v>
      </c>
      <c r="E452" s="294"/>
      <c r="G452" s="225"/>
      <c r="H452" s="61"/>
      <c r="M452" s="226"/>
      <c r="N452" s="226"/>
      <c r="O452" s="226"/>
      <c r="P452" s="227"/>
      <c r="Q452" s="226"/>
    </row>
    <row r="453" spans="1:17" s="224" customFormat="1" ht="30" customHeight="1" x14ac:dyDescent="0.25">
      <c r="A453" s="258"/>
      <c r="B453" s="258"/>
      <c r="C453" s="217">
        <v>4</v>
      </c>
      <c r="D453" s="220" t="s">
        <v>561</v>
      </c>
      <c r="E453" s="294"/>
      <c r="G453" s="225"/>
      <c r="H453" s="61"/>
      <c r="M453" s="226"/>
      <c r="N453" s="226"/>
      <c r="O453" s="226"/>
      <c r="P453" s="227"/>
      <c r="Q453" s="226"/>
    </row>
    <row r="454" spans="1:17" ht="19.5" thickBot="1" x14ac:dyDescent="0.35">
      <c r="A454" s="255"/>
      <c r="B454" s="255"/>
      <c r="C454" s="645" t="s">
        <v>103</v>
      </c>
      <c r="D454" s="646"/>
      <c r="E454" s="263">
        <f>E449</f>
        <v>4</v>
      </c>
      <c r="G454" s="93"/>
      <c r="P454" s="201"/>
    </row>
    <row r="455" spans="1:17" ht="19.5" thickBot="1" x14ac:dyDescent="0.35">
      <c r="A455" s="255"/>
      <c r="B455" s="255"/>
      <c r="C455" s="72"/>
      <c r="D455" s="72"/>
      <c r="E455" s="258"/>
      <c r="G455" s="93"/>
      <c r="P455" s="201"/>
    </row>
    <row r="456" spans="1:17" ht="78" customHeight="1" thickBot="1" x14ac:dyDescent="0.35">
      <c r="A456" s="255">
        <v>49</v>
      </c>
      <c r="B456" s="255" t="s">
        <v>156</v>
      </c>
      <c r="C456" s="659" t="s">
        <v>18</v>
      </c>
      <c r="D456" s="660"/>
      <c r="E456" s="261">
        <v>4</v>
      </c>
      <c r="G456" s="223" t="s">
        <v>562</v>
      </c>
      <c r="P456" s="201"/>
    </row>
    <row r="457" spans="1:17" s="224" customFormat="1" ht="21" customHeight="1" x14ac:dyDescent="0.25">
      <c r="A457" s="258"/>
      <c r="B457" s="258"/>
      <c r="C457" s="217">
        <v>1</v>
      </c>
      <c r="D457" s="220" t="s">
        <v>563</v>
      </c>
      <c r="E457" s="294"/>
      <c r="G457" s="225"/>
      <c r="H457" s="61"/>
      <c r="M457" s="226"/>
      <c r="N457" s="226"/>
      <c r="O457" s="226"/>
      <c r="P457" s="227"/>
      <c r="Q457" s="226"/>
    </row>
    <row r="458" spans="1:17" s="224" customFormat="1" ht="30" customHeight="1" x14ac:dyDescent="0.25">
      <c r="A458" s="258"/>
      <c r="B458" s="258"/>
      <c r="C458" s="217">
        <v>2</v>
      </c>
      <c r="D458" s="220" t="s">
        <v>948</v>
      </c>
      <c r="E458" s="294"/>
      <c r="G458" s="225"/>
      <c r="H458" s="61"/>
      <c r="M458" s="226"/>
      <c r="N458" s="226"/>
      <c r="O458" s="226"/>
      <c r="P458" s="227"/>
      <c r="Q458" s="226"/>
    </row>
    <row r="459" spans="1:17" s="224" customFormat="1" ht="30" customHeight="1" x14ac:dyDescent="0.25">
      <c r="A459" s="258"/>
      <c r="B459" s="258"/>
      <c r="C459" s="217">
        <v>3</v>
      </c>
      <c r="D459" s="220" t="s">
        <v>949</v>
      </c>
      <c r="E459" s="294"/>
      <c r="G459" s="225"/>
      <c r="H459" s="61"/>
      <c r="M459" s="226"/>
      <c r="N459" s="226"/>
      <c r="O459" s="226"/>
      <c r="P459" s="227"/>
      <c r="Q459" s="226"/>
    </row>
    <row r="460" spans="1:17" s="224" customFormat="1" ht="30" customHeight="1" x14ac:dyDescent="0.25">
      <c r="A460" s="258"/>
      <c r="B460" s="258"/>
      <c r="C460" s="217">
        <v>4</v>
      </c>
      <c r="D460" s="220" t="s">
        <v>564</v>
      </c>
      <c r="E460" s="294"/>
      <c r="G460" s="225"/>
      <c r="H460" s="61"/>
      <c r="M460" s="226"/>
      <c r="N460" s="226"/>
      <c r="O460" s="226"/>
      <c r="P460" s="227"/>
      <c r="Q460" s="226"/>
    </row>
    <row r="461" spans="1:17" ht="19.5" thickBot="1" x14ac:dyDescent="0.35">
      <c r="A461" s="255"/>
      <c r="B461" s="255"/>
      <c r="C461" s="645" t="s">
        <v>103</v>
      </c>
      <c r="D461" s="646"/>
      <c r="E461" s="263">
        <f>E456</f>
        <v>4</v>
      </c>
      <c r="G461" s="93"/>
      <c r="P461" s="201"/>
    </row>
    <row r="462" spans="1:17" ht="19.5" thickBot="1" x14ac:dyDescent="0.35">
      <c r="A462" s="255"/>
      <c r="B462" s="255"/>
      <c r="C462" s="72"/>
      <c r="D462" s="72"/>
      <c r="E462" s="258"/>
      <c r="G462" s="93"/>
      <c r="P462" s="201"/>
    </row>
    <row r="463" spans="1:17" ht="78" customHeight="1" thickBot="1" x14ac:dyDescent="0.35">
      <c r="A463" s="255">
        <v>50</v>
      </c>
      <c r="B463" s="255" t="s">
        <v>157</v>
      </c>
      <c r="C463" s="659" t="s">
        <v>19</v>
      </c>
      <c r="D463" s="660"/>
      <c r="E463" s="261">
        <v>4</v>
      </c>
      <c r="G463" s="223" t="s">
        <v>268</v>
      </c>
      <c r="P463" s="201"/>
    </row>
    <row r="464" spans="1:17" s="224" customFormat="1" ht="42" customHeight="1" x14ac:dyDescent="0.25">
      <c r="A464" s="258"/>
      <c r="B464" s="258"/>
      <c r="C464" s="217">
        <v>1</v>
      </c>
      <c r="D464" s="220" t="s">
        <v>19</v>
      </c>
      <c r="E464" s="294"/>
      <c r="G464" s="225"/>
      <c r="H464" s="61"/>
      <c r="M464" s="226"/>
      <c r="N464" s="226"/>
      <c r="O464" s="226"/>
      <c r="P464" s="227"/>
      <c r="Q464" s="226"/>
    </row>
    <row r="465" spans="1:17" s="224" customFormat="1" ht="30.75" customHeight="1" x14ac:dyDescent="0.25">
      <c r="A465" s="258"/>
      <c r="B465" s="258"/>
      <c r="C465" s="217">
        <v>2</v>
      </c>
      <c r="D465" s="220" t="s">
        <v>565</v>
      </c>
      <c r="E465" s="294"/>
      <c r="G465" s="225"/>
      <c r="H465" s="61"/>
      <c r="M465" s="226"/>
      <c r="N465" s="226"/>
      <c r="O465" s="226"/>
      <c r="P465" s="227"/>
      <c r="Q465" s="226"/>
    </row>
    <row r="466" spans="1:17" s="224" customFormat="1" ht="21.75" customHeight="1" x14ac:dyDescent="0.25">
      <c r="A466" s="258"/>
      <c r="B466" s="258"/>
      <c r="C466" s="217">
        <v>3</v>
      </c>
      <c r="D466" s="220" t="s">
        <v>566</v>
      </c>
      <c r="E466" s="294"/>
      <c r="G466" s="225"/>
      <c r="H466" s="61"/>
      <c r="M466" s="226"/>
      <c r="N466" s="226"/>
      <c r="O466" s="226"/>
      <c r="P466" s="227"/>
      <c r="Q466" s="226"/>
    </row>
    <row r="467" spans="1:17" s="224" customFormat="1" ht="30.75" customHeight="1" x14ac:dyDescent="0.25">
      <c r="A467" s="258"/>
      <c r="B467" s="258"/>
      <c r="C467" s="217">
        <v>4</v>
      </c>
      <c r="D467" s="220" t="s">
        <v>567</v>
      </c>
      <c r="E467" s="294"/>
      <c r="G467" s="225"/>
      <c r="H467" s="61"/>
      <c r="M467" s="226"/>
      <c r="N467" s="226"/>
      <c r="O467" s="226"/>
      <c r="P467" s="227"/>
      <c r="Q467" s="226"/>
    </row>
    <row r="468" spans="1:17" ht="19.5" thickBot="1" x14ac:dyDescent="0.35">
      <c r="A468" s="255"/>
      <c r="B468" s="255"/>
      <c r="C468" s="645" t="s">
        <v>103</v>
      </c>
      <c r="D468" s="646"/>
      <c r="E468" s="263">
        <f>E463</f>
        <v>4</v>
      </c>
      <c r="G468" s="93"/>
      <c r="P468" s="201"/>
    </row>
    <row r="469" spans="1:17" ht="19.5" thickBot="1" x14ac:dyDescent="0.35">
      <c r="A469" s="255"/>
      <c r="B469" s="255"/>
      <c r="C469" s="72"/>
      <c r="D469" s="72"/>
      <c r="E469" s="258"/>
      <c r="G469" s="93"/>
      <c r="P469" s="201"/>
    </row>
    <row r="470" spans="1:17" ht="78" customHeight="1" thickBot="1" x14ac:dyDescent="0.35">
      <c r="A470" s="255">
        <v>51</v>
      </c>
      <c r="B470" s="255" t="s">
        <v>158</v>
      </c>
      <c r="C470" s="659" t="s">
        <v>568</v>
      </c>
      <c r="D470" s="660"/>
      <c r="E470" s="261">
        <v>4</v>
      </c>
      <c r="G470" s="223" t="s">
        <v>269</v>
      </c>
      <c r="P470" s="201"/>
    </row>
    <row r="471" spans="1:17" s="224" customFormat="1" ht="21" customHeight="1" x14ac:dyDescent="0.25">
      <c r="A471" s="258"/>
      <c r="B471" s="258"/>
      <c r="C471" s="217">
        <v>1</v>
      </c>
      <c r="D471" s="220" t="s">
        <v>569</v>
      </c>
      <c r="E471" s="294"/>
      <c r="G471" s="225"/>
      <c r="H471" s="61"/>
      <c r="M471" s="226"/>
      <c r="N471" s="226"/>
      <c r="O471" s="226"/>
      <c r="P471" s="227"/>
      <c r="Q471" s="226"/>
    </row>
    <row r="472" spans="1:17" s="224" customFormat="1" ht="21" customHeight="1" x14ac:dyDescent="0.25">
      <c r="A472" s="258"/>
      <c r="B472" s="258"/>
      <c r="C472" s="217">
        <v>2</v>
      </c>
      <c r="D472" s="220" t="s">
        <v>570</v>
      </c>
      <c r="E472" s="294"/>
      <c r="G472" s="225"/>
      <c r="H472" s="61"/>
      <c r="M472" s="226"/>
      <c r="N472" s="226"/>
      <c r="O472" s="226"/>
      <c r="P472" s="227"/>
      <c r="Q472" s="226"/>
    </row>
    <row r="473" spans="1:17" s="224" customFormat="1" ht="21" customHeight="1" x14ac:dyDescent="0.25">
      <c r="A473" s="258"/>
      <c r="B473" s="258"/>
      <c r="C473" s="217">
        <v>3</v>
      </c>
      <c r="D473" s="220" t="s">
        <v>571</v>
      </c>
      <c r="E473" s="294"/>
      <c r="G473" s="225"/>
      <c r="H473" s="61"/>
      <c r="M473" s="226"/>
      <c r="N473" s="226"/>
      <c r="O473" s="226"/>
      <c r="P473" s="227"/>
      <c r="Q473" s="226"/>
    </row>
    <row r="474" spans="1:17" s="224" customFormat="1" ht="30.75" customHeight="1" x14ac:dyDescent="0.25">
      <c r="A474" s="258"/>
      <c r="B474" s="258"/>
      <c r="C474" s="217">
        <v>4</v>
      </c>
      <c r="D474" s="220" t="s">
        <v>572</v>
      </c>
      <c r="E474" s="294"/>
      <c r="G474" s="225"/>
      <c r="H474" s="61"/>
      <c r="M474" s="226"/>
      <c r="N474" s="226"/>
      <c r="O474" s="226"/>
      <c r="P474" s="227"/>
      <c r="Q474" s="226"/>
    </row>
    <row r="475" spans="1:17" ht="19.5" thickBot="1" x14ac:dyDescent="0.35">
      <c r="A475" s="255"/>
      <c r="B475" s="255"/>
      <c r="C475" s="645" t="s">
        <v>103</v>
      </c>
      <c r="D475" s="646"/>
      <c r="E475" s="263">
        <f>E470</f>
        <v>4</v>
      </c>
      <c r="G475" s="93"/>
      <c r="P475" s="201"/>
    </row>
    <row r="476" spans="1:17" ht="19.5" thickBot="1" x14ac:dyDescent="0.35">
      <c r="A476" s="255"/>
      <c r="B476" s="255"/>
      <c r="C476" s="72"/>
      <c r="D476" s="72"/>
      <c r="E476" s="258"/>
      <c r="G476" s="93"/>
      <c r="P476" s="201"/>
    </row>
    <row r="477" spans="1:17" ht="81.75" customHeight="1" thickBot="1" x14ac:dyDescent="0.35">
      <c r="A477" s="255">
        <v>52</v>
      </c>
      <c r="B477" s="255" t="s">
        <v>573</v>
      </c>
      <c r="C477" s="659" t="s">
        <v>546</v>
      </c>
      <c r="D477" s="660"/>
      <c r="E477" s="261">
        <v>4</v>
      </c>
      <c r="G477" s="223" t="s">
        <v>547</v>
      </c>
      <c r="I477" s="208"/>
      <c r="P477" s="201"/>
    </row>
    <row r="478" spans="1:17" ht="20.25" customHeight="1" x14ac:dyDescent="0.3">
      <c r="A478" s="255"/>
      <c r="B478" s="255"/>
      <c r="C478" s="217">
        <v>0</v>
      </c>
      <c r="D478" s="220" t="s">
        <v>350</v>
      </c>
      <c r="E478" s="292"/>
      <c r="G478" s="93"/>
      <c r="P478" s="201"/>
    </row>
    <row r="479" spans="1:17" ht="29.25" customHeight="1" x14ac:dyDescent="0.3">
      <c r="A479" s="255"/>
      <c r="B479" s="255"/>
      <c r="C479" s="217">
        <v>1</v>
      </c>
      <c r="D479" s="220" t="s">
        <v>950</v>
      </c>
      <c r="E479" s="292"/>
      <c r="G479" s="93"/>
      <c r="P479" s="201"/>
    </row>
    <row r="480" spans="1:17" ht="29.25" customHeight="1" x14ac:dyDescent="0.3">
      <c r="A480" s="255"/>
      <c r="B480" s="255"/>
      <c r="C480" s="217">
        <v>2</v>
      </c>
      <c r="D480" s="220" t="s">
        <v>951</v>
      </c>
      <c r="E480" s="292"/>
      <c r="G480" s="93"/>
      <c r="P480" s="201"/>
    </row>
    <row r="481" spans="1:16" ht="29.25" customHeight="1" x14ac:dyDescent="0.3">
      <c r="A481" s="255"/>
      <c r="B481" s="255"/>
      <c r="C481" s="217">
        <v>3</v>
      </c>
      <c r="D481" s="220" t="s">
        <v>952</v>
      </c>
      <c r="E481" s="292"/>
      <c r="G481" s="93"/>
      <c r="P481" s="201"/>
    </row>
    <row r="482" spans="1:16" ht="29.25" customHeight="1" x14ac:dyDescent="0.3">
      <c r="A482" s="255"/>
      <c r="B482" s="255"/>
      <c r="C482" s="217">
        <v>4</v>
      </c>
      <c r="D482" s="220" t="s">
        <v>574</v>
      </c>
      <c r="E482" s="292"/>
      <c r="G482" s="93"/>
      <c r="P482" s="201"/>
    </row>
    <row r="483" spans="1:16" ht="19.5" thickBot="1" x14ac:dyDescent="0.35">
      <c r="A483" s="255"/>
      <c r="B483" s="255"/>
      <c r="C483" s="645" t="s">
        <v>103</v>
      </c>
      <c r="D483" s="646"/>
      <c r="E483" s="263">
        <f>E477</f>
        <v>4</v>
      </c>
      <c r="G483" s="93"/>
      <c r="P483" s="201"/>
    </row>
    <row r="484" spans="1:16" ht="19.5" thickBot="1" x14ac:dyDescent="0.35">
      <c r="A484" s="255"/>
      <c r="B484" s="255"/>
      <c r="C484" s="72"/>
      <c r="D484" s="72"/>
      <c r="E484" s="258"/>
      <c r="G484" s="93"/>
      <c r="P484" s="201"/>
    </row>
    <row r="485" spans="1:16" ht="93" customHeight="1" thickBot="1" x14ac:dyDescent="0.35">
      <c r="A485" s="255">
        <v>53</v>
      </c>
      <c r="B485" s="255" t="s">
        <v>187</v>
      </c>
      <c r="C485" s="659" t="s">
        <v>577</v>
      </c>
      <c r="D485" s="660"/>
      <c r="E485" s="261">
        <v>4</v>
      </c>
      <c r="G485" s="223" t="s">
        <v>576</v>
      </c>
      <c r="I485" s="208"/>
      <c r="P485" s="201"/>
    </row>
    <row r="486" spans="1:16" ht="32.25" customHeight="1" x14ac:dyDescent="0.3">
      <c r="A486" s="255"/>
      <c r="B486" s="255"/>
      <c r="C486" s="217">
        <v>1</v>
      </c>
      <c r="D486" s="220" t="s">
        <v>578</v>
      </c>
      <c r="E486" s="292"/>
      <c r="G486" s="93"/>
      <c r="P486" s="201"/>
    </row>
    <row r="487" spans="1:16" ht="42.75" customHeight="1" x14ac:dyDescent="0.3">
      <c r="A487" s="255"/>
      <c r="B487" s="255"/>
      <c r="C487" s="217">
        <v>2</v>
      </c>
      <c r="D487" s="220" t="s">
        <v>579</v>
      </c>
      <c r="E487" s="292"/>
      <c r="G487" s="93"/>
      <c r="P487" s="201"/>
    </row>
    <row r="488" spans="1:16" ht="42.75" customHeight="1" x14ac:dyDescent="0.3">
      <c r="A488" s="255"/>
      <c r="B488" s="255"/>
      <c r="C488" s="217">
        <v>3</v>
      </c>
      <c r="D488" s="220" t="s">
        <v>580</v>
      </c>
      <c r="E488" s="292"/>
      <c r="G488" s="93"/>
      <c r="P488" s="201"/>
    </row>
    <row r="489" spans="1:16" ht="42.75" customHeight="1" x14ac:dyDescent="0.3">
      <c r="A489" s="255"/>
      <c r="B489" s="255"/>
      <c r="C489" s="217">
        <v>4</v>
      </c>
      <c r="D489" s="220" t="s">
        <v>581</v>
      </c>
      <c r="E489" s="292"/>
      <c r="G489" s="93"/>
      <c r="P489" s="201"/>
    </row>
    <row r="490" spans="1:16" ht="19.5" thickBot="1" x14ac:dyDescent="0.35">
      <c r="A490" s="255"/>
      <c r="B490" s="255"/>
      <c r="C490" s="645" t="s">
        <v>103</v>
      </c>
      <c r="D490" s="646"/>
      <c r="E490" s="263">
        <f>E485</f>
        <v>4</v>
      </c>
      <c r="G490" s="93"/>
      <c r="P490" s="201"/>
    </row>
    <row r="491" spans="1:16" ht="19.5" thickBot="1" x14ac:dyDescent="0.35">
      <c r="A491" s="255"/>
      <c r="B491" s="255"/>
      <c r="C491" s="72"/>
      <c r="D491" s="72"/>
      <c r="E491" s="258"/>
      <c r="G491" s="93"/>
      <c r="P491" s="201"/>
    </row>
    <row r="492" spans="1:16" ht="61.5" customHeight="1" thickBot="1" x14ac:dyDescent="0.3">
      <c r="A492" s="202">
        <v>54</v>
      </c>
      <c r="B492" s="205" t="s">
        <v>189</v>
      </c>
      <c r="C492" s="692" t="s">
        <v>212</v>
      </c>
      <c r="D492" s="693"/>
      <c r="E492" s="301"/>
      <c r="G492" s="99" t="str">
        <f>"Total penerimaan dana = Rp "&amp;E493&amp;" juta. "&amp;"Penerimaan dana dari mahasiswa = Rp "&amp;E494&amp;" juta. "&amp;C495&amp;" = "&amp;TEXT(E495,"0.00%")&amp;"."</f>
        <v>Total penerimaan dana = Rp 100 juta. Penerimaan dana dari mahasiswa = Rp 30 juta. Persentase perolehan dana dari mahasiswa dibandingkan dengan total penerimaan dana  = 30.00%.</v>
      </c>
    </row>
    <row r="493" spans="1:16" x14ac:dyDescent="0.25">
      <c r="A493" s="255"/>
      <c r="B493" s="255"/>
      <c r="C493" s="66" t="s">
        <v>210</v>
      </c>
      <c r="D493" s="67"/>
      <c r="E493" s="266">
        <v>100</v>
      </c>
      <c r="G493" s="651"/>
    </row>
    <row r="494" spans="1:16" ht="15.75" thickBot="1" x14ac:dyDescent="0.3">
      <c r="A494" s="255"/>
      <c r="B494" s="255"/>
      <c r="C494" s="75" t="s">
        <v>211</v>
      </c>
      <c r="D494" s="67"/>
      <c r="E494" s="266">
        <v>30</v>
      </c>
      <c r="G494" s="652"/>
    </row>
    <row r="495" spans="1:16" ht="35.25" customHeight="1" x14ac:dyDescent="0.25">
      <c r="A495" s="255"/>
      <c r="B495" s="255"/>
      <c r="C495" s="690" t="s">
        <v>270</v>
      </c>
      <c r="D495" s="691"/>
      <c r="E495" s="295">
        <f>E494/E493</f>
        <v>0.3</v>
      </c>
      <c r="G495" s="93"/>
    </row>
    <row r="496" spans="1:16" ht="15.75" thickBot="1" x14ac:dyDescent="0.3">
      <c r="A496" s="255"/>
      <c r="B496" s="255"/>
      <c r="C496" s="657" t="s">
        <v>103</v>
      </c>
      <c r="D496" s="658"/>
      <c r="E496" s="263">
        <f>IF(E495&lt;0,"Salah isi", IF(E495&lt;=33%,4,IF(E495&lt;=100%, (334-200*E495)/67, 0)))</f>
        <v>4</v>
      </c>
      <c r="G496" s="93"/>
    </row>
    <row r="497" spans="1:16" ht="19.5" thickBot="1" x14ac:dyDescent="0.35">
      <c r="A497" s="255"/>
      <c r="B497" s="255"/>
      <c r="C497" s="72"/>
      <c r="D497" s="72"/>
      <c r="E497" s="258"/>
      <c r="G497" s="93"/>
      <c r="P497" s="201"/>
    </row>
    <row r="498" spans="1:16" ht="59.25" customHeight="1" thickBot="1" x14ac:dyDescent="0.3">
      <c r="A498" s="202">
        <v>55</v>
      </c>
      <c r="B498" s="205" t="s">
        <v>191</v>
      </c>
      <c r="C498" s="659" t="s">
        <v>582</v>
      </c>
      <c r="D498" s="660"/>
      <c r="E498" s="265"/>
      <c r="G498" s="99" t="str">
        <f>C498&amp;" Rata-rata dana operasional per mahasiswa per tahun = Rp "&amp;E499&amp;" juta."</f>
        <v>Penggunaan dana untuk operasional (pendidikan, penelitian, pengabdian kepada masyarakat)/ mahasiswa /tahun. Rata-rata dana operasional per mahasiswa per tahun = Rp 100 juta.</v>
      </c>
    </row>
    <row r="499" spans="1:16" x14ac:dyDescent="0.25">
      <c r="A499" s="255"/>
      <c r="B499" s="255"/>
      <c r="C499" s="66" t="s">
        <v>583</v>
      </c>
      <c r="D499" s="67"/>
      <c r="E499" s="266">
        <v>100</v>
      </c>
      <c r="G499" s="651"/>
    </row>
    <row r="500" spans="1:16" ht="15.75" thickBot="1" x14ac:dyDescent="0.3">
      <c r="A500" s="255"/>
      <c r="B500" s="255"/>
      <c r="C500" s="653" t="s">
        <v>103</v>
      </c>
      <c r="D500" s="654"/>
      <c r="E500" s="263">
        <f>IF(E499&lt;0,"Salah isi",IF(E499&lt;20,E499/5,IF(E499&lt;=40,4,IF(E495&lt;33%,4,IF(E499&lt;60,(80-E499)/10,2)))))</f>
        <v>4</v>
      </c>
      <c r="G500" s="652"/>
    </row>
    <row r="501" spans="1:16" ht="19.5" thickBot="1" x14ac:dyDescent="0.35">
      <c r="A501" s="255"/>
      <c r="B501" s="255"/>
      <c r="C501" s="72"/>
      <c r="D501" s="72"/>
      <c r="E501" s="258"/>
      <c r="G501" s="93"/>
      <c r="P501" s="201"/>
    </row>
    <row r="502" spans="1:16" ht="50.25" customHeight="1" thickBot="1" x14ac:dyDescent="0.3">
      <c r="A502" s="202">
        <v>56</v>
      </c>
      <c r="B502" s="205" t="s">
        <v>587</v>
      </c>
      <c r="C502" s="661" t="s">
        <v>162</v>
      </c>
      <c r="D502" s="662"/>
      <c r="E502" s="270"/>
      <c r="G502" s="99" t="str">
        <f>C502&amp;" "&amp;D505&amp;" = Rp "&amp;TEXT(E505,"0.00")&amp;" juta."</f>
        <v>Penggunaan dana penelitian tiga tahun terakhir. Rata-rata dana penelitian per dosen di RS Pendidikan (Utama, Afiliasi dan Satelit) per tahun = Rp 4.00 juta.</v>
      </c>
    </row>
    <row r="503" spans="1:16" x14ac:dyDescent="0.25">
      <c r="A503" s="255"/>
      <c r="B503" s="255"/>
      <c r="C503" s="706" t="s">
        <v>213</v>
      </c>
      <c r="D503" s="707"/>
      <c r="E503" s="266">
        <v>120</v>
      </c>
      <c r="G503" s="651"/>
    </row>
    <row r="504" spans="1:16" ht="15.75" thickBot="1" x14ac:dyDescent="0.3">
      <c r="A504" s="255"/>
      <c r="B504" s="255"/>
      <c r="C504" s="706" t="s">
        <v>584</v>
      </c>
      <c r="D504" s="707"/>
      <c r="E504" s="266">
        <v>10</v>
      </c>
      <c r="G504" s="652"/>
    </row>
    <row r="505" spans="1:16" ht="25.5" x14ac:dyDescent="0.25">
      <c r="A505" s="255"/>
      <c r="B505" s="255"/>
      <c r="C505" s="244" t="s">
        <v>585</v>
      </c>
      <c r="D505" s="240" t="s">
        <v>586</v>
      </c>
      <c r="E505" s="267">
        <f>E503/(3*E504)</f>
        <v>4</v>
      </c>
      <c r="G505" s="93"/>
    </row>
    <row r="506" spans="1:16" ht="15.75" thickBot="1" x14ac:dyDescent="0.3">
      <c r="A506" s="255"/>
      <c r="B506" s="255"/>
      <c r="C506" s="653" t="s">
        <v>103</v>
      </c>
      <c r="D506" s="654"/>
      <c r="E506" s="263">
        <f>IF(E505&lt;0,"Salah isi",IF(E505=0,0,IF(E505&lt;=10,1+(3*E505)/10,4)))</f>
        <v>2.2000000000000002</v>
      </c>
      <c r="G506" s="93"/>
    </row>
    <row r="507" spans="1:16" ht="15.75" thickBot="1" x14ac:dyDescent="0.3">
      <c r="A507" s="255"/>
      <c r="B507" s="255"/>
      <c r="C507" s="72"/>
      <c r="D507" s="72"/>
      <c r="E507" s="258"/>
      <c r="G507" s="93"/>
    </row>
    <row r="508" spans="1:16" ht="60.75" customHeight="1" thickBot="1" x14ac:dyDescent="0.3">
      <c r="A508" s="202">
        <v>57</v>
      </c>
      <c r="B508" s="205" t="s">
        <v>588</v>
      </c>
      <c r="C508" s="694" t="s">
        <v>591</v>
      </c>
      <c r="D508" s="695"/>
      <c r="E508" s="270"/>
      <c r="G508" s="99" t="str">
        <f>C508&amp;" "&amp;D511&amp;" = Rp "&amp;TEXT(E511,"0.00")&amp;" juta."</f>
        <v>Penggunaan dana pengabdian kepada masyarakat dalam tiga tahun terakhir. Rata-rata dana pengabdian kepada masyarakat per dosen di RS Pendidikan (Utama, Afiliasi dan Satelit) per tahun = Rp 3.33 juta.</v>
      </c>
    </row>
    <row r="509" spans="1:16" x14ac:dyDescent="0.25">
      <c r="A509" s="255"/>
      <c r="B509" s="255"/>
      <c r="C509" s="80" t="s">
        <v>214</v>
      </c>
      <c r="D509" s="81"/>
      <c r="E509" s="266">
        <v>100</v>
      </c>
      <c r="G509" s="651"/>
    </row>
    <row r="510" spans="1:16" ht="15.75" thickBot="1" x14ac:dyDescent="0.3">
      <c r="A510" s="255"/>
      <c r="B510" s="255"/>
      <c r="C510" s="80" t="s">
        <v>584</v>
      </c>
      <c r="D510" s="81"/>
      <c r="E510" s="266">
        <f>E504</f>
        <v>10</v>
      </c>
      <c r="G510" s="652"/>
    </row>
    <row r="511" spans="1:16" ht="26.25" x14ac:dyDescent="0.25">
      <c r="A511" s="255"/>
      <c r="B511" s="255"/>
      <c r="C511" s="69" t="s">
        <v>589</v>
      </c>
      <c r="D511" s="245" t="s">
        <v>590</v>
      </c>
      <c r="E511" s="267">
        <f>E509/(3*E510)</f>
        <v>3.3333333333333335</v>
      </c>
      <c r="G511" s="93"/>
    </row>
    <row r="512" spans="1:16" ht="15.75" thickBot="1" x14ac:dyDescent="0.3">
      <c r="A512" s="255"/>
      <c r="B512" s="255"/>
      <c r="C512" s="653" t="s">
        <v>103</v>
      </c>
      <c r="D512" s="654"/>
      <c r="E512" s="263">
        <f>IF(E511&lt;0,"Salah isi",IF(E511=0,0,IF(E511&lt;1.5,1+(2*E511),4)))</f>
        <v>4</v>
      </c>
      <c r="G512" s="93"/>
    </row>
    <row r="513" spans="1:16" ht="15.75" thickBot="1" x14ac:dyDescent="0.3">
      <c r="A513" s="260"/>
      <c r="B513" s="260"/>
      <c r="E513" s="262"/>
    </row>
    <row r="514" spans="1:16" ht="66" customHeight="1" thickBot="1" x14ac:dyDescent="0.35">
      <c r="A514" s="255">
        <v>58</v>
      </c>
      <c r="B514" s="255" t="s">
        <v>592</v>
      </c>
      <c r="C514" s="659" t="s">
        <v>598</v>
      </c>
      <c r="D514" s="660"/>
      <c r="E514" s="261">
        <v>4</v>
      </c>
      <c r="G514" s="223" t="s">
        <v>599</v>
      </c>
      <c r="I514" s="208"/>
      <c r="P514" s="201"/>
    </row>
    <row r="515" spans="1:16" ht="17.25" customHeight="1" x14ac:dyDescent="0.3">
      <c r="A515" s="255"/>
      <c r="B515" s="255"/>
      <c r="C515" s="217">
        <v>0</v>
      </c>
      <c r="D515" s="220" t="s">
        <v>593</v>
      </c>
      <c r="E515" s="292"/>
      <c r="G515" s="93"/>
      <c r="P515" s="201"/>
    </row>
    <row r="516" spans="1:16" ht="17.25" customHeight="1" x14ac:dyDescent="0.3">
      <c r="A516" s="255"/>
      <c r="B516" s="255"/>
      <c r="C516" s="217">
        <v>1</v>
      </c>
      <c r="D516" s="220" t="s">
        <v>594</v>
      </c>
      <c r="E516" s="292"/>
      <c r="G516" s="93"/>
      <c r="P516" s="201"/>
    </row>
    <row r="517" spans="1:16" ht="28.5" customHeight="1" x14ac:dyDescent="0.3">
      <c r="A517" s="255"/>
      <c r="B517" s="255"/>
      <c r="C517" s="217">
        <v>2</v>
      </c>
      <c r="D517" s="220" t="s">
        <v>595</v>
      </c>
      <c r="E517" s="292"/>
      <c r="G517" s="93"/>
      <c r="P517" s="201"/>
    </row>
    <row r="518" spans="1:16" ht="19.5" customHeight="1" x14ac:dyDescent="0.3">
      <c r="A518" s="255"/>
      <c r="B518" s="255"/>
      <c r="C518" s="217">
        <v>3</v>
      </c>
      <c r="D518" s="220" t="s">
        <v>596</v>
      </c>
      <c r="E518" s="292"/>
      <c r="G518" s="93"/>
      <c r="P518" s="201"/>
    </row>
    <row r="519" spans="1:16" ht="28.5" customHeight="1" x14ac:dyDescent="0.3">
      <c r="A519" s="255"/>
      <c r="B519" s="255"/>
      <c r="C519" s="217">
        <v>4</v>
      </c>
      <c r="D519" s="220" t="s">
        <v>597</v>
      </c>
      <c r="E519" s="292"/>
      <c r="G519" s="93"/>
      <c r="P519" s="201"/>
    </row>
    <row r="520" spans="1:16" ht="19.5" thickBot="1" x14ac:dyDescent="0.35">
      <c r="A520" s="255"/>
      <c r="B520" s="255"/>
      <c r="C520" s="645" t="s">
        <v>103</v>
      </c>
      <c r="D520" s="646"/>
      <c r="E520" s="263">
        <f>IF(OR(E514=1,E514=3),"Salah isi",E514)</f>
        <v>4</v>
      </c>
      <c r="G520" s="93"/>
      <c r="P520" s="201"/>
    </row>
    <row r="521" spans="1:16" ht="15.75" thickBot="1" x14ac:dyDescent="0.3">
      <c r="A521" s="255"/>
      <c r="B521" s="255"/>
      <c r="C521" s="72"/>
      <c r="D521" s="72"/>
      <c r="E521" s="258"/>
      <c r="G521" s="93"/>
    </row>
    <row r="522" spans="1:16" ht="76.5" customHeight="1" thickBot="1" x14ac:dyDescent="0.35">
      <c r="A522" s="255">
        <v>59</v>
      </c>
      <c r="B522" s="255" t="s">
        <v>600</v>
      </c>
      <c r="C522" s="659" t="s">
        <v>601</v>
      </c>
      <c r="D522" s="660"/>
      <c r="E522" s="261">
        <v>4</v>
      </c>
      <c r="G522" s="223" t="s">
        <v>602</v>
      </c>
      <c r="I522" s="208"/>
      <c r="P522" s="201"/>
    </row>
    <row r="523" spans="1:16" ht="18" customHeight="1" x14ac:dyDescent="0.3">
      <c r="A523" s="255"/>
      <c r="B523" s="255"/>
      <c r="C523" s="217">
        <v>1</v>
      </c>
      <c r="D523" s="220" t="s">
        <v>603</v>
      </c>
      <c r="E523" s="292"/>
      <c r="G523" s="93"/>
      <c r="P523" s="201"/>
    </row>
    <row r="524" spans="1:16" ht="18" customHeight="1" x14ac:dyDescent="0.3">
      <c r="A524" s="255"/>
      <c r="B524" s="255"/>
      <c r="C524" s="217">
        <v>2</v>
      </c>
      <c r="D524" s="220" t="s">
        <v>604</v>
      </c>
      <c r="E524" s="292"/>
      <c r="G524" s="93"/>
      <c r="P524" s="201"/>
    </row>
    <row r="525" spans="1:16" ht="18" customHeight="1" x14ac:dyDescent="0.3">
      <c r="A525" s="255"/>
      <c r="B525" s="255"/>
      <c r="C525" s="217">
        <v>3</v>
      </c>
      <c r="D525" s="220" t="s">
        <v>596</v>
      </c>
      <c r="E525" s="292"/>
      <c r="G525" s="93"/>
      <c r="P525" s="201"/>
    </row>
    <row r="526" spans="1:16" ht="18" customHeight="1" x14ac:dyDescent="0.3">
      <c r="A526" s="255"/>
      <c r="B526" s="255"/>
      <c r="C526" s="217">
        <v>4</v>
      </c>
      <c r="D526" s="220" t="s">
        <v>605</v>
      </c>
      <c r="E526" s="292"/>
      <c r="G526" s="93"/>
      <c r="P526" s="201"/>
    </row>
    <row r="527" spans="1:16" ht="19.5" thickBot="1" x14ac:dyDescent="0.35">
      <c r="A527" s="255"/>
      <c r="B527" s="255"/>
      <c r="C527" s="645" t="s">
        <v>103</v>
      </c>
      <c r="D527" s="646"/>
      <c r="E527" s="263">
        <f>IF(E522=3,"salah isi",E522)</f>
        <v>4</v>
      </c>
      <c r="G527" s="93"/>
      <c r="P527" s="201"/>
    </row>
    <row r="528" spans="1:16" ht="15.75" thickBot="1" x14ac:dyDescent="0.3">
      <c r="A528" s="255"/>
      <c r="B528" s="255"/>
      <c r="C528" s="70"/>
      <c r="D528" s="70"/>
      <c r="E528" s="264"/>
      <c r="G528" s="93"/>
    </row>
    <row r="529" spans="1:17" s="15" customFormat="1" ht="29.25" customHeight="1" thickBot="1" x14ac:dyDescent="0.35">
      <c r="A529" s="255">
        <v>60</v>
      </c>
      <c r="B529" s="259" t="s">
        <v>606</v>
      </c>
      <c r="C529" s="661" t="s">
        <v>608</v>
      </c>
      <c r="D529" s="672"/>
      <c r="E529" s="270"/>
      <c r="F529" s="30"/>
      <c r="G529" s="99" t="str">
        <f>D530&amp;" = "&amp;E530&amp;" judul. "</f>
        <v xml:space="preserve">Jumlah judul buku teks yang relevan  = 20 judul. </v>
      </c>
      <c r="H529" s="228"/>
      <c r="I529" s="208"/>
      <c r="J529" s="30"/>
      <c r="K529" s="31"/>
      <c r="L529" s="30"/>
      <c r="M529" s="8"/>
      <c r="N529" s="229"/>
      <c r="O529" s="8"/>
      <c r="P529" s="8"/>
      <c r="Q529" s="8"/>
    </row>
    <row r="530" spans="1:17" s="15" customFormat="1" ht="20.25" customHeight="1" x14ac:dyDescent="0.3">
      <c r="A530" s="255"/>
      <c r="B530" s="255"/>
      <c r="C530" s="217" t="s">
        <v>607</v>
      </c>
      <c r="D530" s="231" t="s">
        <v>609</v>
      </c>
      <c r="E530" s="304">
        <v>20</v>
      </c>
      <c r="F530" s="30"/>
      <c r="G530" s="651"/>
      <c r="H530" s="34"/>
      <c r="I530" s="30"/>
      <c r="J530" s="30"/>
      <c r="K530" s="31"/>
      <c r="L530" s="30"/>
      <c r="M530" s="8"/>
      <c r="N530" s="229"/>
      <c r="O530" s="8"/>
      <c r="P530" s="8"/>
      <c r="Q530" s="8"/>
    </row>
    <row r="531" spans="1:17" s="15" customFormat="1" ht="19.5" thickBot="1" x14ac:dyDescent="0.35">
      <c r="A531" s="255"/>
      <c r="B531" s="255"/>
      <c r="C531" s="653" t="s">
        <v>103</v>
      </c>
      <c r="D531" s="654"/>
      <c r="E531" s="297">
        <f>IF(E530&gt;=20,4,E530/5)</f>
        <v>4</v>
      </c>
      <c r="F531" s="30"/>
      <c r="G531" s="652"/>
      <c r="H531" s="34"/>
      <c r="I531" s="30"/>
      <c r="J531" s="30"/>
      <c r="K531" s="31"/>
      <c r="L531" s="30"/>
      <c r="M531" s="8"/>
      <c r="N531" s="229"/>
      <c r="O531" s="8"/>
      <c r="P531" s="8"/>
      <c r="Q531" s="8"/>
    </row>
    <row r="532" spans="1:17" ht="15.75" thickBot="1" x14ac:dyDescent="0.3">
      <c r="A532" s="255"/>
      <c r="B532" s="255"/>
      <c r="C532" s="70"/>
      <c r="D532" s="70"/>
      <c r="E532" s="264"/>
      <c r="G532" s="93"/>
    </row>
    <row r="533" spans="1:17" s="15" customFormat="1" ht="27" customHeight="1" thickBot="1" x14ac:dyDescent="0.35">
      <c r="A533" s="255">
        <v>61</v>
      </c>
      <c r="B533" s="259" t="s">
        <v>610</v>
      </c>
      <c r="C533" s="661" t="s">
        <v>613</v>
      </c>
      <c r="D533" s="672"/>
      <c r="E533" s="270"/>
      <c r="F533" s="30"/>
      <c r="G533" s="99" t="str">
        <f>D534&amp;" = "&amp;E534&amp;" judul. "</f>
        <v xml:space="preserve">Jumlah judul majalah profesi internasional = 20 judul. </v>
      </c>
      <c r="H533" s="228"/>
      <c r="I533" s="208"/>
      <c r="J533" s="30"/>
      <c r="K533" s="31"/>
      <c r="L533" s="30"/>
      <c r="M533" s="8"/>
      <c r="N533" s="229"/>
      <c r="O533" s="8"/>
      <c r="P533" s="8"/>
      <c r="Q533" s="8"/>
    </row>
    <row r="534" spans="1:17" s="15" customFormat="1" ht="20.25" customHeight="1" x14ac:dyDescent="0.3">
      <c r="A534" s="255"/>
      <c r="B534" s="255"/>
      <c r="C534" s="217" t="s">
        <v>611</v>
      </c>
      <c r="D534" s="231" t="s">
        <v>612</v>
      </c>
      <c r="E534" s="304">
        <v>20</v>
      </c>
      <c r="F534" s="30"/>
      <c r="G534" s="651"/>
      <c r="H534" s="34"/>
      <c r="I534" s="30"/>
      <c r="J534" s="30"/>
      <c r="K534" s="31"/>
      <c r="L534" s="30"/>
      <c r="M534" s="8"/>
      <c r="N534" s="229"/>
      <c r="O534" s="8"/>
      <c r="P534" s="8"/>
      <c r="Q534" s="8"/>
    </row>
    <row r="535" spans="1:17" s="15" customFormat="1" ht="19.5" thickBot="1" x14ac:dyDescent="0.35">
      <c r="A535" s="255"/>
      <c r="B535" s="255"/>
      <c r="C535" s="653" t="s">
        <v>103</v>
      </c>
      <c r="D535" s="654"/>
      <c r="E535" s="297">
        <f>IF(E534&gt;=3,4,1+E534)</f>
        <v>4</v>
      </c>
      <c r="F535" s="30"/>
      <c r="G535" s="652"/>
      <c r="H535" s="34"/>
      <c r="I535" s="30"/>
      <c r="J535" s="30"/>
      <c r="K535" s="31"/>
      <c r="L535" s="30"/>
      <c r="M535" s="8"/>
      <c r="N535" s="229"/>
      <c r="O535" s="8"/>
      <c r="P535" s="8"/>
      <c r="Q535" s="8"/>
    </row>
    <row r="536" spans="1:17" ht="15.75" thickBot="1" x14ac:dyDescent="0.3">
      <c r="A536" s="255"/>
      <c r="B536" s="255"/>
      <c r="C536" s="70"/>
      <c r="D536" s="70"/>
      <c r="E536" s="264"/>
      <c r="G536" s="93"/>
    </row>
    <row r="537" spans="1:17" s="15" customFormat="1" ht="27.75" customHeight="1" thickBot="1" x14ac:dyDescent="0.35">
      <c r="A537" s="255">
        <v>62</v>
      </c>
      <c r="B537" s="259" t="s">
        <v>614</v>
      </c>
      <c r="C537" s="661" t="s">
        <v>617</v>
      </c>
      <c r="D537" s="672"/>
      <c r="E537" s="270"/>
      <c r="F537" s="30"/>
      <c r="G537" s="99" t="str">
        <f>D538&amp;" = "&amp;E538&amp;" judul. "</f>
        <v xml:space="preserve">Jumlah judul majalah profesi nasional = 20 judul. </v>
      </c>
      <c r="H537" s="228"/>
      <c r="I537" s="208"/>
      <c r="J537" s="30"/>
      <c r="K537" s="31"/>
      <c r="L537" s="30"/>
      <c r="M537" s="8"/>
      <c r="N537" s="229"/>
      <c r="O537" s="8"/>
      <c r="P537" s="8"/>
      <c r="Q537" s="8"/>
    </row>
    <row r="538" spans="1:17" s="15" customFormat="1" ht="20.25" customHeight="1" x14ac:dyDescent="0.3">
      <c r="A538" s="255"/>
      <c r="B538" s="255"/>
      <c r="C538" s="217" t="s">
        <v>615</v>
      </c>
      <c r="D538" s="231" t="s">
        <v>616</v>
      </c>
      <c r="E538" s="304">
        <v>20</v>
      </c>
      <c r="F538" s="30"/>
      <c r="G538" s="651"/>
      <c r="H538" s="34"/>
      <c r="I538" s="30"/>
      <c r="J538" s="30"/>
      <c r="K538" s="31"/>
      <c r="L538" s="30"/>
      <c r="M538" s="8"/>
      <c r="N538" s="229"/>
      <c r="O538" s="8"/>
      <c r="P538" s="8"/>
      <c r="Q538" s="8"/>
    </row>
    <row r="539" spans="1:17" s="15" customFormat="1" ht="19.5" thickBot="1" x14ac:dyDescent="0.35">
      <c r="A539" s="255"/>
      <c r="B539" s="255"/>
      <c r="C539" s="653" t="s">
        <v>103</v>
      </c>
      <c r="D539" s="654"/>
      <c r="E539" s="297">
        <f>IF(E538&gt;=3,4,1+E538)</f>
        <v>4</v>
      </c>
      <c r="F539" s="30"/>
      <c r="G539" s="652"/>
      <c r="H539" s="34"/>
      <c r="I539" s="30"/>
      <c r="J539" s="30"/>
      <c r="K539" s="31"/>
      <c r="L539" s="30"/>
      <c r="M539" s="8"/>
      <c r="N539" s="229"/>
      <c r="O539" s="8"/>
      <c r="P539" s="8"/>
      <c r="Q539" s="8"/>
    </row>
    <row r="540" spans="1:17" ht="15.75" thickBot="1" x14ac:dyDescent="0.3">
      <c r="A540" s="255"/>
      <c r="B540" s="255"/>
      <c r="C540" s="70"/>
      <c r="D540" s="70"/>
      <c r="E540" s="264"/>
      <c r="G540" s="93"/>
    </row>
    <row r="541" spans="1:17" s="15" customFormat="1" ht="27.75" customHeight="1" thickBot="1" x14ac:dyDescent="0.35">
      <c r="A541" s="255">
        <v>63</v>
      </c>
      <c r="B541" s="259" t="s">
        <v>618</v>
      </c>
      <c r="C541" s="708" t="s">
        <v>620</v>
      </c>
      <c r="D541" s="672"/>
      <c r="E541" s="270"/>
      <c r="F541" s="30"/>
      <c r="G541" s="99" t="str">
        <f>D542&amp;" = "&amp;E542&amp;" judul. "</f>
        <v xml:space="preserve">Jumlah judul video/interactive materials = 20 judul. </v>
      </c>
      <c r="H541" s="228"/>
      <c r="I541" s="208"/>
      <c r="J541" s="30"/>
      <c r="K541" s="31"/>
      <c r="L541" s="30"/>
      <c r="M541" s="8"/>
      <c r="N541" s="229"/>
      <c r="O541" s="8"/>
      <c r="P541" s="8"/>
      <c r="Q541" s="8"/>
    </row>
    <row r="542" spans="1:17" s="15" customFormat="1" ht="20.25" customHeight="1" x14ac:dyDescent="0.3">
      <c r="A542" s="255"/>
      <c r="B542" s="255"/>
      <c r="C542" s="217" t="s">
        <v>619</v>
      </c>
      <c r="D542" s="231" t="s">
        <v>621</v>
      </c>
      <c r="E542" s="304">
        <v>20</v>
      </c>
      <c r="F542" s="30"/>
      <c r="G542" s="651"/>
      <c r="H542" s="34"/>
      <c r="I542" s="30"/>
      <c r="J542" s="30"/>
      <c r="K542" s="31"/>
      <c r="L542" s="30"/>
      <c r="M542" s="8"/>
      <c r="N542" s="229"/>
      <c r="O542" s="8"/>
      <c r="P542" s="8"/>
      <c r="Q542" s="8"/>
    </row>
    <row r="543" spans="1:17" s="15" customFormat="1" ht="19.5" thickBot="1" x14ac:dyDescent="0.35">
      <c r="A543" s="255"/>
      <c r="B543" s="255"/>
      <c r="C543" s="653" t="s">
        <v>103</v>
      </c>
      <c r="D543" s="654"/>
      <c r="E543" s="297">
        <f>IF(E542&gt;=30,4,1+E542/10)</f>
        <v>3</v>
      </c>
      <c r="F543" s="30"/>
      <c r="G543" s="652"/>
      <c r="H543" s="34"/>
      <c r="I543" s="30"/>
      <c r="J543" s="30"/>
      <c r="K543" s="31"/>
      <c r="L543" s="30"/>
      <c r="M543" s="8"/>
      <c r="N543" s="229"/>
      <c r="O543" s="8"/>
      <c r="P543" s="8"/>
      <c r="Q543" s="8"/>
    </row>
    <row r="544" spans="1:17" ht="15.75" thickBot="1" x14ac:dyDescent="0.3">
      <c r="A544" s="255"/>
      <c r="B544" s="255"/>
      <c r="C544" s="70"/>
      <c r="D544" s="70"/>
      <c r="E544" s="264"/>
      <c r="G544" s="93"/>
    </row>
    <row r="545" spans="1:16" ht="80.25" customHeight="1" thickBot="1" x14ac:dyDescent="0.35">
      <c r="A545" s="255">
        <v>64</v>
      </c>
      <c r="B545" s="255" t="s">
        <v>622</v>
      </c>
      <c r="C545" s="659" t="s">
        <v>624</v>
      </c>
      <c r="D545" s="660"/>
      <c r="E545" s="261">
        <v>4</v>
      </c>
      <c r="G545" s="223" t="s">
        <v>625</v>
      </c>
      <c r="I545" s="208"/>
      <c r="P545" s="201"/>
    </row>
    <row r="546" spans="1:16" ht="29.25" customHeight="1" x14ac:dyDescent="0.3">
      <c r="A546" s="255"/>
      <c r="B546" s="255"/>
      <c r="C546" s="217">
        <v>0</v>
      </c>
      <c r="D546" s="337" t="s">
        <v>954</v>
      </c>
      <c r="E546" s="292"/>
      <c r="G546" s="93"/>
      <c r="P546" s="201"/>
    </row>
    <row r="547" spans="1:16" ht="22.5" customHeight="1" x14ac:dyDescent="0.3">
      <c r="A547" s="255"/>
      <c r="B547" s="255"/>
      <c r="C547" s="217">
        <v>1</v>
      </c>
      <c r="D547" s="337" t="s">
        <v>955</v>
      </c>
      <c r="E547" s="292"/>
      <c r="G547" s="93"/>
      <c r="P547" s="201"/>
    </row>
    <row r="548" spans="1:16" ht="22.5" customHeight="1" x14ac:dyDescent="0.3">
      <c r="A548" s="255"/>
      <c r="B548" s="255"/>
      <c r="C548" s="217">
        <v>2</v>
      </c>
      <c r="D548" s="337" t="s">
        <v>956</v>
      </c>
      <c r="E548" s="292"/>
      <c r="G548" s="93"/>
      <c r="P548" s="201"/>
    </row>
    <row r="549" spans="1:16" ht="22.5" customHeight="1" x14ac:dyDescent="0.3">
      <c r="A549" s="255"/>
      <c r="B549" s="255"/>
      <c r="C549" s="217">
        <v>3</v>
      </c>
      <c r="D549" s="337" t="s">
        <v>957</v>
      </c>
      <c r="E549" s="292"/>
      <c r="G549" s="93"/>
      <c r="P549" s="201"/>
    </row>
    <row r="550" spans="1:16" ht="28.5" customHeight="1" x14ac:dyDescent="0.3">
      <c r="A550" s="255"/>
      <c r="B550" s="255"/>
      <c r="C550" s="217">
        <v>4</v>
      </c>
      <c r="D550" s="337" t="s">
        <v>958</v>
      </c>
      <c r="E550" s="292"/>
      <c r="G550" s="93"/>
      <c r="P550" s="201"/>
    </row>
    <row r="551" spans="1:16" ht="19.5" thickBot="1" x14ac:dyDescent="0.35">
      <c r="A551" s="255"/>
      <c r="B551" s="255"/>
      <c r="C551" s="645" t="s">
        <v>103</v>
      </c>
      <c r="D551" s="646"/>
      <c r="E551" s="263">
        <f>E545</f>
        <v>4</v>
      </c>
      <c r="G551" s="93"/>
      <c r="P551" s="201"/>
    </row>
    <row r="552" spans="1:16" ht="15.75" thickBot="1" x14ac:dyDescent="0.3">
      <c r="A552" s="255"/>
      <c r="B552" s="255"/>
      <c r="C552" s="70"/>
      <c r="D552" s="70"/>
      <c r="E552" s="264"/>
      <c r="G552" s="93"/>
    </row>
    <row r="553" spans="1:16" ht="81" customHeight="1" thickBot="1" x14ac:dyDescent="0.35">
      <c r="A553" s="255">
        <v>65</v>
      </c>
      <c r="B553" s="255" t="s">
        <v>623</v>
      </c>
      <c r="C553" s="659" t="s">
        <v>953</v>
      </c>
      <c r="D553" s="660"/>
      <c r="E553" s="261">
        <v>4</v>
      </c>
      <c r="G553" s="223" t="s">
        <v>626</v>
      </c>
      <c r="I553" s="208"/>
      <c r="P553" s="201"/>
    </row>
    <row r="554" spans="1:16" ht="30.75" customHeight="1" x14ac:dyDescent="0.3">
      <c r="A554" s="255"/>
      <c r="B554" s="255"/>
      <c r="C554" s="217">
        <v>0</v>
      </c>
      <c r="D554" s="337" t="s">
        <v>959</v>
      </c>
      <c r="E554" s="292"/>
      <c r="G554" s="93"/>
      <c r="P554" s="201"/>
    </row>
    <row r="555" spans="1:16" ht="21.75" customHeight="1" x14ac:dyDescent="0.3">
      <c r="A555" s="255"/>
      <c r="B555" s="255"/>
      <c r="C555" s="217">
        <v>1</v>
      </c>
      <c r="D555" s="337" t="s">
        <v>960</v>
      </c>
      <c r="E555" s="292"/>
      <c r="G555" s="93"/>
      <c r="P555" s="201"/>
    </row>
    <row r="556" spans="1:16" ht="21.75" customHeight="1" x14ac:dyDescent="0.3">
      <c r="A556" s="255"/>
      <c r="B556" s="255"/>
      <c r="C556" s="217">
        <v>2</v>
      </c>
      <c r="D556" s="337" t="s">
        <v>961</v>
      </c>
      <c r="E556" s="292"/>
      <c r="G556" s="93"/>
      <c r="P556" s="201"/>
    </row>
    <row r="557" spans="1:16" ht="21.75" customHeight="1" x14ac:dyDescent="0.3">
      <c r="A557" s="255"/>
      <c r="B557" s="255"/>
      <c r="C557" s="217">
        <v>3</v>
      </c>
      <c r="D557" s="337" t="s">
        <v>962</v>
      </c>
      <c r="E557" s="292"/>
      <c r="G557" s="93"/>
      <c r="P557" s="201"/>
    </row>
    <row r="558" spans="1:16" ht="28.5" customHeight="1" x14ac:dyDescent="0.3">
      <c r="A558" s="255"/>
      <c r="B558" s="255"/>
      <c r="C558" s="217">
        <v>4</v>
      </c>
      <c r="D558" s="337" t="s">
        <v>963</v>
      </c>
      <c r="E558" s="292"/>
      <c r="G558" s="93"/>
      <c r="P558" s="201"/>
    </row>
    <row r="559" spans="1:16" ht="19.5" thickBot="1" x14ac:dyDescent="0.35">
      <c r="A559" s="255"/>
      <c r="B559" s="255"/>
      <c r="C559" s="645" t="s">
        <v>103</v>
      </c>
      <c r="D559" s="646"/>
      <c r="E559" s="263">
        <f>E553</f>
        <v>4</v>
      </c>
      <c r="G559" s="93"/>
      <c r="P559" s="201"/>
    </row>
    <row r="560" spans="1:16" ht="15.75" thickBot="1" x14ac:dyDescent="0.3">
      <c r="A560" s="255"/>
      <c r="B560" s="255"/>
      <c r="C560" s="70"/>
      <c r="D560" s="70"/>
      <c r="E560" s="264"/>
      <c r="G560" s="93"/>
    </row>
    <row r="561" spans="1:16" ht="81" customHeight="1" thickBot="1" x14ac:dyDescent="0.35">
      <c r="A561" s="255">
        <v>66</v>
      </c>
      <c r="B561" s="255" t="s">
        <v>627</v>
      </c>
      <c r="C561" s="659" t="s">
        <v>628</v>
      </c>
      <c r="D561" s="660"/>
      <c r="E561" s="261">
        <v>4</v>
      </c>
      <c r="G561" s="223" t="s">
        <v>629</v>
      </c>
      <c r="I561" s="208"/>
      <c r="P561" s="201"/>
    </row>
    <row r="562" spans="1:16" ht="28.5" customHeight="1" x14ac:dyDescent="0.3">
      <c r="A562" s="255"/>
      <c r="B562" s="255"/>
      <c r="C562" s="217">
        <v>0</v>
      </c>
      <c r="D562" s="337" t="s">
        <v>964</v>
      </c>
      <c r="E562" s="292"/>
      <c r="G562" s="93"/>
      <c r="P562" s="201"/>
    </row>
    <row r="563" spans="1:16" ht="22.5" customHeight="1" x14ac:dyDescent="0.3">
      <c r="A563" s="255"/>
      <c r="B563" s="255"/>
      <c r="C563" s="217">
        <v>1</v>
      </c>
      <c r="D563" s="337" t="s">
        <v>965</v>
      </c>
      <c r="E563" s="292"/>
      <c r="G563" s="93"/>
      <c r="P563" s="201"/>
    </row>
    <row r="564" spans="1:16" ht="22.5" customHeight="1" x14ac:dyDescent="0.3">
      <c r="A564" s="255"/>
      <c r="B564" s="255"/>
      <c r="C564" s="217">
        <v>2</v>
      </c>
      <c r="D564" s="337" t="s">
        <v>966</v>
      </c>
      <c r="E564" s="292"/>
      <c r="G564" s="93"/>
      <c r="P564" s="201"/>
    </row>
    <row r="565" spans="1:16" ht="22.5" customHeight="1" x14ac:dyDescent="0.3">
      <c r="A565" s="255"/>
      <c r="B565" s="255"/>
      <c r="C565" s="217">
        <v>3</v>
      </c>
      <c r="D565" s="337" t="s">
        <v>967</v>
      </c>
      <c r="E565" s="292"/>
      <c r="G565" s="93"/>
      <c r="P565" s="201"/>
    </row>
    <row r="566" spans="1:16" ht="22.5" customHeight="1" x14ac:dyDescent="0.3">
      <c r="A566" s="255"/>
      <c r="B566" s="255"/>
      <c r="C566" s="217">
        <v>4</v>
      </c>
      <c r="D566" s="337" t="s">
        <v>968</v>
      </c>
      <c r="E566" s="292"/>
      <c r="G566" s="93"/>
      <c r="P566" s="201"/>
    </row>
    <row r="567" spans="1:16" ht="19.5" thickBot="1" x14ac:dyDescent="0.35">
      <c r="A567" s="255"/>
      <c r="B567" s="255"/>
      <c r="C567" s="645" t="s">
        <v>103</v>
      </c>
      <c r="D567" s="646"/>
      <c r="E567" s="263">
        <f>E561</f>
        <v>4</v>
      </c>
      <c r="G567" s="93"/>
      <c r="P567" s="201"/>
    </row>
    <row r="568" spans="1:16" ht="15.75" thickBot="1" x14ac:dyDescent="0.3">
      <c r="A568" s="255"/>
      <c r="B568" s="255"/>
      <c r="C568" s="70"/>
      <c r="D568" s="70"/>
      <c r="E568" s="264"/>
      <c r="G568" s="93"/>
    </row>
    <row r="569" spans="1:16" ht="81" customHeight="1" thickBot="1" x14ac:dyDescent="0.35">
      <c r="A569" s="255">
        <v>67</v>
      </c>
      <c r="B569" s="255" t="s">
        <v>630</v>
      </c>
      <c r="C569" s="659" t="s">
        <v>631</v>
      </c>
      <c r="D569" s="660"/>
      <c r="E569" s="261">
        <v>4</v>
      </c>
      <c r="G569" s="223" t="s">
        <v>632</v>
      </c>
      <c r="I569" s="208"/>
      <c r="P569" s="201"/>
    </row>
    <row r="570" spans="1:16" ht="33" customHeight="1" x14ac:dyDescent="0.3">
      <c r="A570" s="255"/>
      <c r="B570" s="255"/>
      <c r="C570" s="217">
        <v>0</v>
      </c>
      <c r="D570" s="337" t="s">
        <v>969</v>
      </c>
      <c r="E570" s="292"/>
      <c r="G570" s="93"/>
      <c r="P570" s="201"/>
    </row>
    <row r="571" spans="1:16" ht="33" customHeight="1" x14ac:dyDescent="0.3">
      <c r="A571" s="255"/>
      <c r="B571" s="255"/>
      <c r="C571" s="217">
        <v>1</v>
      </c>
      <c r="D571" s="337" t="s">
        <v>970</v>
      </c>
      <c r="E571" s="292"/>
      <c r="G571" s="93"/>
      <c r="P571" s="201"/>
    </row>
    <row r="572" spans="1:16" ht="33" customHeight="1" x14ac:dyDescent="0.3">
      <c r="A572" s="255"/>
      <c r="B572" s="255"/>
      <c r="C572" s="217">
        <v>2</v>
      </c>
      <c r="D572" s="337" t="s">
        <v>971</v>
      </c>
      <c r="E572" s="292"/>
      <c r="G572" s="93"/>
      <c r="P572" s="201"/>
    </row>
    <row r="573" spans="1:16" ht="33" customHeight="1" x14ac:dyDescent="0.3">
      <c r="A573" s="255"/>
      <c r="B573" s="255"/>
      <c r="C573" s="217">
        <v>3</v>
      </c>
      <c r="D573" s="337" t="s">
        <v>972</v>
      </c>
      <c r="E573" s="292"/>
      <c r="G573" s="93"/>
      <c r="P573" s="201"/>
    </row>
    <row r="574" spans="1:16" ht="33" customHeight="1" x14ac:dyDescent="0.3">
      <c r="A574" s="255"/>
      <c r="B574" s="255"/>
      <c r="C574" s="217">
        <v>4</v>
      </c>
      <c r="D574" s="337" t="s">
        <v>973</v>
      </c>
      <c r="E574" s="292"/>
      <c r="G574" s="93"/>
      <c r="P574" s="201"/>
    </row>
    <row r="575" spans="1:16" ht="19.5" thickBot="1" x14ac:dyDescent="0.35">
      <c r="A575" s="255"/>
      <c r="B575" s="255"/>
      <c r="C575" s="645" t="s">
        <v>103</v>
      </c>
      <c r="D575" s="646"/>
      <c r="E575" s="263">
        <f>E569</f>
        <v>4</v>
      </c>
      <c r="G575" s="93"/>
      <c r="P575" s="201"/>
    </row>
    <row r="576" spans="1:16" ht="15.75" thickBot="1" x14ac:dyDescent="0.3">
      <c r="A576" s="255"/>
      <c r="B576" s="255"/>
      <c r="C576" s="70"/>
      <c r="D576" s="70"/>
      <c r="E576" s="264"/>
      <c r="G576" s="93"/>
    </row>
    <row r="577" spans="1:16" ht="81" customHeight="1" thickBot="1" x14ac:dyDescent="0.35">
      <c r="A577" s="255">
        <v>68</v>
      </c>
      <c r="B577" s="255">
        <v>6.3</v>
      </c>
      <c r="C577" s="659" t="s">
        <v>633</v>
      </c>
      <c r="D577" s="660"/>
      <c r="E577" s="261">
        <v>4</v>
      </c>
      <c r="G577" s="223" t="s">
        <v>634</v>
      </c>
      <c r="I577" s="208"/>
      <c r="P577" s="201"/>
    </row>
    <row r="578" spans="1:16" ht="20.25" customHeight="1" x14ac:dyDescent="0.3">
      <c r="A578" s="255"/>
      <c r="B578" s="255"/>
      <c r="C578" s="217">
        <v>1</v>
      </c>
      <c r="D578" s="242" t="s">
        <v>635</v>
      </c>
      <c r="E578" s="292"/>
      <c r="G578" s="93"/>
      <c r="P578" s="201"/>
    </row>
    <row r="579" spans="1:16" ht="33" customHeight="1" x14ac:dyDescent="0.3">
      <c r="A579" s="255"/>
      <c r="B579" s="255"/>
      <c r="C579" s="217">
        <v>2</v>
      </c>
      <c r="D579" s="242" t="s">
        <v>636</v>
      </c>
      <c r="E579" s="292"/>
      <c r="G579" s="93"/>
      <c r="P579" s="201"/>
    </row>
    <row r="580" spans="1:16" ht="53.25" customHeight="1" x14ac:dyDescent="0.3">
      <c r="A580" s="255"/>
      <c r="B580" s="255"/>
      <c r="C580" s="217">
        <v>3</v>
      </c>
      <c r="D580" s="242" t="s">
        <v>637</v>
      </c>
      <c r="E580" s="292"/>
      <c r="G580" s="93"/>
      <c r="P580" s="201"/>
    </row>
    <row r="581" spans="1:16" ht="44.25" customHeight="1" x14ac:dyDescent="0.3">
      <c r="A581" s="255"/>
      <c r="B581" s="255"/>
      <c r="C581" s="217">
        <v>4</v>
      </c>
      <c r="D581" s="242" t="s">
        <v>638</v>
      </c>
      <c r="E581" s="292"/>
      <c r="G581" s="93"/>
      <c r="P581" s="201"/>
    </row>
    <row r="582" spans="1:16" ht="19.5" thickBot="1" x14ac:dyDescent="0.35">
      <c r="A582" s="255"/>
      <c r="B582" s="255"/>
      <c r="C582" s="645" t="s">
        <v>103</v>
      </c>
      <c r="D582" s="646"/>
      <c r="E582" s="263">
        <f>E577</f>
        <v>4</v>
      </c>
      <c r="G582" s="93"/>
      <c r="P582" s="201"/>
    </row>
    <row r="583" spans="1:16" ht="15.75" thickBot="1" x14ac:dyDescent="0.3">
      <c r="A583" s="260"/>
      <c r="B583" s="260"/>
      <c r="E583" s="262"/>
    </row>
    <row r="584" spans="1:16" ht="50.25" customHeight="1" thickBot="1" x14ac:dyDescent="0.3">
      <c r="A584" s="202">
        <v>69</v>
      </c>
      <c r="B584" s="205">
        <v>7.1</v>
      </c>
      <c r="C584" s="661" t="s">
        <v>643</v>
      </c>
      <c r="D584" s="662"/>
      <c r="E584" s="270"/>
      <c r="G584" s="99" t="str">
        <f>D587&amp;" = Rp "&amp;TEXT(E587,"0.00%.")</f>
        <v>Persentase dosen yang memiliki agenda penelitian sesuai dengan bidang studi dan semua penelitian sesuai dengan agenda. = Rp 83.33%.</v>
      </c>
    </row>
    <row r="585" spans="1:16" x14ac:dyDescent="0.25">
      <c r="A585" s="255"/>
      <c r="B585" s="255"/>
      <c r="C585" s="706" t="s">
        <v>639</v>
      </c>
      <c r="D585" s="707"/>
      <c r="E585" s="266">
        <v>30</v>
      </c>
      <c r="G585" s="651"/>
    </row>
    <row r="586" spans="1:16" ht="40.5" customHeight="1" thickBot="1" x14ac:dyDescent="0.3">
      <c r="A586" s="255"/>
      <c r="B586" s="255"/>
      <c r="C586" s="649" t="s">
        <v>642</v>
      </c>
      <c r="D586" s="650"/>
      <c r="E586" s="266">
        <v>25</v>
      </c>
      <c r="G586" s="652"/>
    </row>
    <row r="587" spans="1:16" ht="38.25" x14ac:dyDescent="0.25">
      <c r="A587" s="255"/>
      <c r="B587" s="255"/>
      <c r="C587" s="244" t="s">
        <v>640</v>
      </c>
      <c r="D587" s="231" t="s">
        <v>641</v>
      </c>
      <c r="E587" s="295">
        <f>E586/E585</f>
        <v>0.83333333333333337</v>
      </c>
      <c r="G587" s="93"/>
    </row>
    <row r="588" spans="1:16" ht="15.75" thickBot="1" x14ac:dyDescent="0.3">
      <c r="A588" s="255"/>
      <c r="B588" s="255"/>
      <c r="C588" s="653" t="s">
        <v>103</v>
      </c>
      <c r="D588" s="654"/>
      <c r="E588" s="263">
        <f>IF(E587=0%,0,IF(E587&lt;75%,1+4*E587,4))</f>
        <v>4</v>
      </c>
      <c r="G588" s="93"/>
    </row>
    <row r="589" spans="1:16" ht="15.75" thickBot="1" x14ac:dyDescent="0.3">
      <c r="A589" s="260"/>
      <c r="B589" s="260"/>
      <c r="E589" s="262"/>
    </row>
    <row r="590" spans="1:16" ht="96.75" customHeight="1" thickBot="1" x14ac:dyDescent="0.3">
      <c r="A590" s="202">
        <v>70</v>
      </c>
      <c r="B590" s="205" t="s">
        <v>28</v>
      </c>
      <c r="C590" s="659" t="s">
        <v>644</v>
      </c>
      <c r="D590" s="660"/>
      <c r="E590" s="265"/>
      <c r="G590" s="99" t="str">
        <f>IF(SUM(E591:E593)=0,"Tidak ada keterlibatan dosen di RS Pendidikan dalam publikasi ilmiah. ","")&amp;D594&amp;" = "&amp;E594&amp;" orang. "&amp;IF(E591=0,"","Jumlah keterlibatan dosen di RS Pendidikan dalam publikasi tingkat internasional = "&amp;TEXT(E591,"0.00")&amp;" kali. ")&amp;IF(E592=0,"","Jumlah keterlibatan dosen di RS Pendidikan dalam publikasi tingkat nasional = "&amp;TEXT(E592,"0.00")&amp;" kali. ")&amp;IF(E593=0,"","Jumlah keterlibatan dosen di RS Pendidikan dalam publikasi tingkat lokal/universitas = "&amp;TEXT(E593,"0.00")&amp;" kali. ")</f>
        <v xml:space="preserve">Banyaknya dosen di RS Pendidikan = 30 orang. Jumlah keterlibatan dosen di RS Pendidikan dalam publikasi tingkat internasional = 20.00 kali. Jumlah keterlibatan dosen di RS Pendidikan dalam publikasi tingkat nasional = 19.00 kali. Jumlah keterlibatan dosen di RS Pendidikan dalam publikasi tingkat lokal/universitas = 19.00 kali. </v>
      </c>
    </row>
    <row r="591" spans="1:16" ht="26.25" x14ac:dyDescent="0.25">
      <c r="A591" s="255"/>
      <c r="B591" s="255"/>
      <c r="C591" s="71" t="s">
        <v>105</v>
      </c>
      <c r="D591" s="73" t="s">
        <v>645</v>
      </c>
      <c r="E591" s="266">
        <v>20</v>
      </c>
      <c r="G591" s="651"/>
    </row>
    <row r="592" spans="1:16" ht="27" thickBot="1" x14ac:dyDescent="0.3">
      <c r="A592" s="255"/>
      <c r="B592" s="255"/>
      <c r="C592" s="71" t="s">
        <v>106</v>
      </c>
      <c r="D592" s="73" t="s">
        <v>646</v>
      </c>
      <c r="E592" s="266">
        <v>19</v>
      </c>
      <c r="G592" s="652"/>
    </row>
    <row r="593" spans="1:16" ht="25.5" x14ac:dyDescent="0.25">
      <c r="A593" s="255"/>
      <c r="B593" s="255"/>
      <c r="C593" s="71" t="s">
        <v>107</v>
      </c>
      <c r="D593" s="74" t="s">
        <v>647</v>
      </c>
      <c r="E593" s="266">
        <v>19</v>
      </c>
      <c r="G593" s="93"/>
    </row>
    <row r="594" spans="1:16" x14ac:dyDescent="0.25">
      <c r="A594" s="255"/>
      <c r="B594" s="255"/>
      <c r="C594" s="71" t="s">
        <v>104</v>
      </c>
      <c r="D594" s="212" t="s">
        <v>648</v>
      </c>
      <c r="E594" s="271">
        <f>E585</f>
        <v>30</v>
      </c>
      <c r="G594" s="93"/>
    </row>
    <row r="595" spans="1:16" x14ac:dyDescent="0.25">
      <c r="A595" s="255"/>
      <c r="B595" s="255"/>
      <c r="C595" s="655" t="s">
        <v>108</v>
      </c>
      <c r="D595" s="656"/>
      <c r="E595" s="267">
        <f>(4*E591+3*E592+1*E593)/E594</f>
        <v>5.2</v>
      </c>
      <c r="G595" s="93"/>
    </row>
    <row r="596" spans="1:16" ht="15.75" thickBot="1" x14ac:dyDescent="0.3">
      <c r="A596" s="255"/>
      <c r="B596" s="255"/>
      <c r="C596" s="657" t="s">
        <v>103</v>
      </c>
      <c r="D596" s="658"/>
      <c r="E596" s="297">
        <f>IF(E595=0,0,IF(E595&lt;9,1+E595/3,4))</f>
        <v>2.7333333333333334</v>
      </c>
      <c r="G596" s="93"/>
    </row>
    <row r="597" spans="1:16" ht="15.75" thickBot="1" x14ac:dyDescent="0.3">
      <c r="A597" s="260"/>
      <c r="B597" s="260"/>
      <c r="E597" s="262"/>
    </row>
    <row r="598" spans="1:16" ht="58.5" customHeight="1" thickBot="1" x14ac:dyDescent="0.3">
      <c r="A598" s="202">
        <v>71</v>
      </c>
      <c r="B598" s="205" t="s">
        <v>29</v>
      </c>
      <c r="C598" s="661" t="s">
        <v>164</v>
      </c>
      <c r="D598" s="672"/>
      <c r="E598" s="270"/>
      <c r="G598" s="99" t="str">
        <f>C598&amp;" Rasio jumlah mahasiswa yang terlibat dalam penelitian dosen terhadap jumlah mahasiswa yang mengambil tugas akhir pada TS = "&amp;TEXT(E601,"0.00%.")</f>
        <v>Keterlibatan mahasiswa dalam kegiatan penelitian dosen.  Rasio jumlah mahasiswa yang terlibat dalam penelitian dosen terhadap jumlah mahasiswa yang mengambil tugas akhir pada TS = 30.00%.</v>
      </c>
    </row>
    <row r="599" spans="1:16" ht="20.25" customHeight="1" x14ac:dyDescent="0.25">
      <c r="A599" s="255"/>
      <c r="B599" s="255"/>
      <c r="C599" s="217" t="s">
        <v>653</v>
      </c>
      <c r="D599" s="243" t="s">
        <v>652</v>
      </c>
      <c r="E599" s="266">
        <v>100</v>
      </c>
      <c r="G599" s="673"/>
    </row>
    <row r="600" spans="1:16" ht="30.75" customHeight="1" thickBot="1" x14ac:dyDescent="0.3">
      <c r="A600" s="255"/>
      <c r="B600" s="255"/>
      <c r="C600" s="217" t="s">
        <v>651</v>
      </c>
      <c r="D600" s="231" t="s">
        <v>654</v>
      </c>
      <c r="E600" s="266">
        <v>30</v>
      </c>
      <c r="G600" s="652"/>
    </row>
    <row r="601" spans="1:16" ht="30" customHeight="1" x14ac:dyDescent="0.25">
      <c r="A601" s="255"/>
      <c r="B601" s="255"/>
      <c r="C601" s="217" t="s">
        <v>650</v>
      </c>
      <c r="D601" s="231" t="s">
        <v>649</v>
      </c>
      <c r="E601" s="295">
        <f>E600/E599</f>
        <v>0.3</v>
      </c>
      <c r="G601" s="93"/>
    </row>
    <row r="602" spans="1:16" ht="15.75" thickBot="1" x14ac:dyDescent="0.3">
      <c r="A602" s="255"/>
      <c r="B602" s="255"/>
      <c r="C602" s="653" t="s">
        <v>103</v>
      </c>
      <c r="D602" s="654"/>
      <c r="E602" s="263">
        <f>IF(E601=0,0,IF(E601&lt;30%,1+10*E601,4))</f>
        <v>4</v>
      </c>
      <c r="G602" s="93"/>
    </row>
    <row r="603" spans="1:16" ht="15.75" thickBot="1" x14ac:dyDescent="0.3">
      <c r="A603" s="260"/>
      <c r="B603" s="260"/>
      <c r="E603" s="262"/>
    </row>
    <row r="604" spans="1:16" ht="81" customHeight="1" thickBot="1" x14ac:dyDescent="0.35">
      <c r="A604" s="255">
        <v>72</v>
      </c>
      <c r="B604" s="255" t="s">
        <v>163</v>
      </c>
      <c r="C604" s="659" t="s">
        <v>655</v>
      </c>
      <c r="D604" s="660"/>
      <c r="E604" s="261">
        <v>4</v>
      </c>
      <c r="G604" s="223" t="s">
        <v>656</v>
      </c>
      <c r="I604" s="208"/>
      <c r="P604" s="201"/>
    </row>
    <row r="605" spans="1:16" ht="44.25" customHeight="1" x14ac:dyDescent="0.3">
      <c r="A605" s="255"/>
      <c r="B605" s="255"/>
      <c r="C605" s="217">
        <v>2</v>
      </c>
      <c r="D605" s="242" t="s">
        <v>657</v>
      </c>
      <c r="E605" s="292"/>
      <c r="G605" s="93"/>
      <c r="P605" s="201"/>
    </row>
    <row r="606" spans="1:16" ht="31.5" customHeight="1" x14ac:dyDescent="0.3">
      <c r="A606" s="255"/>
      <c r="B606" s="255"/>
      <c r="C606" s="217">
        <v>3</v>
      </c>
      <c r="D606" s="242" t="s">
        <v>659</v>
      </c>
      <c r="E606" s="292"/>
      <c r="G606" s="93"/>
      <c r="P606" s="201"/>
    </row>
    <row r="607" spans="1:16" ht="31.5" customHeight="1" x14ac:dyDescent="0.3">
      <c r="A607" s="255"/>
      <c r="B607" s="255"/>
      <c r="C607" s="217">
        <v>4</v>
      </c>
      <c r="D607" s="242" t="s">
        <v>658</v>
      </c>
      <c r="E607" s="292"/>
      <c r="G607" s="93"/>
      <c r="P607" s="201"/>
    </row>
    <row r="608" spans="1:16" ht="19.5" thickBot="1" x14ac:dyDescent="0.35">
      <c r="A608" s="255"/>
      <c r="B608" s="255"/>
      <c r="C608" s="645" t="s">
        <v>103</v>
      </c>
      <c r="D608" s="646"/>
      <c r="E608" s="263">
        <f>E604</f>
        <v>4</v>
      </c>
      <c r="G608" s="93"/>
      <c r="P608" s="201"/>
    </row>
    <row r="609" spans="1:16" ht="15.75" thickBot="1" x14ac:dyDescent="0.3">
      <c r="A609" s="260"/>
      <c r="B609" s="260"/>
      <c r="E609" s="262"/>
    </row>
    <row r="610" spans="1:16" ht="50.25" customHeight="1" thickBot="1" x14ac:dyDescent="0.3">
      <c r="A610" s="202">
        <v>73</v>
      </c>
      <c r="B610" s="205">
        <v>7.3</v>
      </c>
      <c r="C610" s="661" t="s">
        <v>662</v>
      </c>
      <c r="D610" s="662"/>
      <c r="E610" s="270"/>
      <c r="G610" s="99" t="str">
        <f>D613&amp;" = "&amp;TEXT(E613,"0.00.")</f>
        <v>Rasio keterlibatan dosen di RS Pendidikan (Utama, Afiliasi, dan Satelit) dalam kegiatan pengabdian kepada masyarakat. = 1.00.</v>
      </c>
    </row>
    <row r="611" spans="1:16" ht="17.25" customHeight="1" x14ac:dyDescent="0.25">
      <c r="A611" s="255"/>
      <c r="B611" s="255"/>
      <c r="C611" s="706" t="s">
        <v>584</v>
      </c>
      <c r="D611" s="707"/>
      <c r="E611" s="271">
        <f>E594</f>
        <v>30</v>
      </c>
      <c r="G611" s="651"/>
    </row>
    <row r="612" spans="1:16" ht="30.75" customHeight="1" thickBot="1" x14ac:dyDescent="0.3">
      <c r="A612" s="255"/>
      <c r="B612" s="255"/>
      <c r="C612" s="649" t="s">
        <v>660</v>
      </c>
      <c r="D612" s="650"/>
      <c r="E612" s="266">
        <v>30</v>
      </c>
      <c r="G612" s="652"/>
    </row>
    <row r="613" spans="1:16" ht="30.75" customHeight="1" x14ac:dyDescent="0.25">
      <c r="A613" s="255"/>
      <c r="B613" s="255"/>
      <c r="C613" s="239" t="s">
        <v>661</v>
      </c>
      <c r="D613" s="231" t="s">
        <v>663</v>
      </c>
      <c r="E613" s="302">
        <f>E612/E611</f>
        <v>1</v>
      </c>
      <c r="G613" s="93"/>
    </row>
    <row r="614" spans="1:16" ht="15.75" thickBot="1" x14ac:dyDescent="0.3">
      <c r="A614" s="255"/>
      <c r="B614" s="255"/>
      <c r="C614" s="653" t="s">
        <v>103</v>
      </c>
      <c r="D614" s="654"/>
      <c r="E614" s="263">
        <f>IF(E613=0,0,IF(E613&lt;3,1+E613,4))</f>
        <v>2</v>
      </c>
      <c r="G614" s="93"/>
    </row>
    <row r="615" spans="1:16" ht="15.75" thickBot="1" x14ac:dyDescent="0.3">
      <c r="A615" s="260"/>
      <c r="B615" s="260"/>
      <c r="E615" s="262"/>
    </row>
    <row r="616" spans="1:16" ht="81" customHeight="1" thickBot="1" x14ac:dyDescent="0.35">
      <c r="A616" s="255">
        <v>74</v>
      </c>
      <c r="B616" s="255" t="s">
        <v>165</v>
      </c>
      <c r="C616" s="659" t="s">
        <v>664</v>
      </c>
      <c r="D616" s="660"/>
      <c r="E616" s="261">
        <v>4</v>
      </c>
      <c r="G616" s="223" t="s">
        <v>665</v>
      </c>
      <c r="I616" s="208"/>
      <c r="P616" s="201"/>
    </row>
    <row r="617" spans="1:16" ht="20.25" customHeight="1" x14ac:dyDescent="0.3">
      <c r="A617" s="255"/>
      <c r="B617" s="255"/>
      <c r="C617" s="217">
        <v>0</v>
      </c>
      <c r="D617" s="242" t="s">
        <v>666</v>
      </c>
      <c r="E617" s="292"/>
      <c r="G617" s="93"/>
      <c r="P617" s="201"/>
    </row>
    <row r="618" spans="1:16" ht="20.25" customHeight="1" x14ac:dyDescent="0.3">
      <c r="A618" s="255"/>
      <c r="B618" s="255"/>
      <c r="C618" s="217">
        <v>1</v>
      </c>
      <c r="D618" s="242" t="s">
        <v>667</v>
      </c>
      <c r="E618" s="292"/>
      <c r="G618" s="93"/>
      <c r="P618" s="201"/>
    </row>
    <row r="619" spans="1:16" ht="41.25" customHeight="1" x14ac:dyDescent="0.3">
      <c r="A619" s="255"/>
      <c r="B619" s="255"/>
      <c r="C619" s="217">
        <v>2</v>
      </c>
      <c r="D619" s="242" t="s">
        <v>668</v>
      </c>
      <c r="E619" s="292"/>
      <c r="G619" s="93"/>
      <c r="P619" s="201"/>
    </row>
    <row r="620" spans="1:16" ht="41.25" customHeight="1" x14ac:dyDescent="0.3">
      <c r="A620" s="255"/>
      <c r="B620" s="255"/>
      <c r="C620" s="217">
        <v>3</v>
      </c>
      <c r="D620" s="242" t="s">
        <v>669</v>
      </c>
      <c r="E620" s="292"/>
      <c r="G620" s="93"/>
      <c r="P620" s="201"/>
    </row>
    <row r="621" spans="1:16" ht="41.25" customHeight="1" x14ac:dyDescent="0.3">
      <c r="A621" s="255"/>
      <c r="B621" s="255"/>
      <c r="C621" s="217">
        <v>4</v>
      </c>
      <c r="D621" s="242" t="s">
        <v>670</v>
      </c>
      <c r="E621" s="292"/>
      <c r="G621" s="93"/>
      <c r="P621" s="201"/>
    </row>
    <row r="622" spans="1:16" ht="19.5" thickBot="1" x14ac:dyDescent="0.35">
      <c r="A622" s="255"/>
      <c r="B622" s="255"/>
      <c r="C622" s="645" t="s">
        <v>103</v>
      </c>
      <c r="D622" s="646"/>
      <c r="E622" s="263">
        <f>E616</f>
        <v>4</v>
      </c>
      <c r="G622" s="93"/>
      <c r="P622" s="201"/>
    </row>
    <row r="623" spans="1:16" ht="15.75" thickBot="1" x14ac:dyDescent="0.3">
      <c r="A623" s="257"/>
      <c r="B623" s="257"/>
      <c r="C623" s="70"/>
      <c r="D623" s="70"/>
      <c r="E623" s="264"/>
      <c r="G623" s="93"/>
    </row>
    <row r="624" spans="1:16" ht="81" customHeight="1" thickBot="1" x14ac:dyDescent="0.35">
      <c r="A624" s="255">
        <v>75</v>
      </c>
      <c r="B624" s="255" t="s">
        <v>166</v>
      </c>
      <c r="C624" s="659" t="s">
        <v>671</v>
      </c>
      <c r="D624" s="660"/>
      <c r="E624" s="261">
        <v>4</v>
      </c>
      <c r="G624" s="223" t="s">
        <v>672</v>
      </c>
      <c r="I624" s="208"/>
      <c r="P624" s="201"/>
    </row>
    <row r="625" spans="1:17" s="224" customFormat="1" ht="20.25" customHeight="1" x14ac:dyDescent="0.25">
      <c r="A625" s="258"/>
      <c r="B625" s="258"/>
      <c r="C625" s="217">
        <v>0</v>
      </c>
      <c r="D625" s="242" t="s">
        <v>666</v>
      </c>
      <c r="E625" s="294"/>
      <c r="G625" s="225"/>
      <c r="H625" s="61"/>
      <c r="M625" s="226"/>
      <c r="N625" s="226"/>
      <c r="O625" s="226"/>
      <c r="P625" s="227"/>
      <c r="Q625" s="226"/>
    </row>
    <row r="626" spans="1:17" s="224" customFormat="1" ht="20.25" customHeight="1" x14ac:dyDescent="0.25">
      <c r="A626" s="258"/>
      <c r="B626" s="258"/>
      <c r="C626" s="217">
        <v>1</v>
      </c>
      <c r="D626" s="246" t="s">
        <v>673</v>
      </c>
      <c r="E626" s="294"/>
      <c r="G626" s="225"/>
      <c r="H626" s="61"/>
      <c r="M626" s="226"/>
      <c r="N626" s="226"/>
      <c r="O626" s="226"/>
      <c r="P626" s="227"/>
      <c r="Q626" s="226"/>
    </row>
    <row r="627" spans="1:17" ht="41.25" customHeight="1" x14ac:dyDescent="0.3">
      <c r="A627" s="255"/>
      <c r="B627" s="255"/>
      <c r="C627" s="217">
        <v>2</v>
      </c>
      <c r="D627" s="242" t="s">
        <v>674</v>
      </c>
      <c r="E627" s="292"/>
      <c r="G627" s="93"/>
      <c r="P627" s="201"/>
    </row>
    <row r="628" spans="1:17" ht="41.25" customHeight="1" x14ac:dyDescent="0.3">
      <c r="A628" s="255"/>
      <c r="B628" s="255"/>
      <c r="C628" s="217">
        <v>3</v>
      </c>
      <c r="D628" s="242" t="s">
        <v>675</v>
      </c>
      <c r="E628" s="292"/>
      <c r="G628" s="93"/>
      <c r="P628" s="201"/>
    </row>
    <row r="629" spans="1:17" ht="41.25" customHeight="1" x14ac:dyDescent="0.3">
      <c r="A629" s="255"/>
      <c r="B629" s="255"/>
      <c r="C629" s="217">
        <v>4</v>
      </c>
      <c r="D629" s="242" t="s">
        <v>676</v>
      </c>
      <c r="E629" s="292"/>
      <c r="G629" s="93"/>
      <c r="P629" s="201"/>
    </row>
    <row r="630" spans="1:17" ht="19.5" thickBot="1" x14ac:dyDescent="0.35">
      <c r="A630" s="255"/>
      <c r="B630" s="255"/>
      <c r="C630" s="645" t="s">
        <v>103</v>
      </c>
      <c r="D630" s="646"/>
      <c r="E630" s="263">
        <f>E624</f>
        <v>4</v>
      </c>
      <c r="G630" s="93"/>
      <c r="P630" s="201"/>
    </row>
    <row r="631" spans="1:17" x14ac:dyDescent="0.25">
      <c r="A631" s="87"/>
      <c r="B631" s="87"/>
      <c r="C631" s="70"/>
      <c r="D631" s="70"/>
      <c r="E631" s="78"/>
      <c r="G631" s="93"/>
    </row>
  </sheetData>
  <sheetProtection selectLockedCells="1"/>
  <mergeCells count="243">
    <mergeCell ref="C10:D10"/>
    <mergeCell ref="C624:D624"/>
    <mergeCell ref="C630:D630"/>
    <mergeCell ref="C584:D584"/>
    <mergeCell ref="C585:D585"/>
    <mergeCell ref="G585:G586"/>
    <mergeCell ref="C586:D586"/>
    <mergeCell ref="C588:D588"/>
    <mergeCell ref="G591:G592"/>
    <mergeCell ref="C608:D608"/>
    <mergeCell ref="C611:D611"/>
    <mergeCell ref="C612:D612"/>
    <mergeCell ref="G599:G600"/>
    <mergeCell ref="G611:G612"/>
    <mergeCell ref="G542:G543"/>
    <mergeCell ref="C543:D543"/>
    <mergeCell ref="C545:D545"/>
    <mergeCell ref="C551:D551"/>
    <mergeCell ref="C553:D553"/>
    <mergeCell ref="C559:D559"/>
    <mergeCell ref="C561:D561"/>
    <mergeCell ref="C567:D567"/>
    <mergeCell ref="C569:D569"/>
    <mergeCell ref="G530:G531"/>
    <mergeCell ref="C531:D531"/>
    <mergeCell ref="C533:D533"/>
    <mergeCell ref="G534:G535"/>
    <mergeCell ref="C535:D535"/>
    <mergeCell ref="C537:D537"/>
    <mergeCell ref="G538:G539"/>
    <mergeCell ref="C539:D539"/>
    <mergeCell ref="C541:D541"/>
    <mergeCell ref="G503:G504"/>
    <mergeCell ref="C506:D506"/>
    <mergeCell ref="C504:D504"/>
    <mergeCell ref="C503:D503"/>
    <mergeCell ref="C514:D514"/>
    <mergeCell ref="C520:D520"/>
    <mergeCell ref="C527:D527"/>
    <mergeCell ref="C529:D529"/>
    <mergeCell ref="G224:G225"/>
    <mergeCell ref="C225:D225"/>
    <mergeCell ref="C227:D227"/>
    <mergeCell ref="C255:D255"/>
    <mergeCell ref="C229:D229"/>
    <mergeCell ref="G230:G231"/>
    <mergeCell ref="C237:D237"/>
    <mergeCell ref="C240:D240"/>
    <mergeCell ref="G241:G242"/>
    <mergeCell ref="C248:D248"/>
    <mergeCell ref="C251:D251"/>
    <mergeCell ref="C252:D252"/>
    <mergeCell ref="G252:G253"/>
    <mergeCell ref="C253:D253"/>
    <mergeCell ref="C257:D257"/>
    <mergeCell ref="C262:D262"/>
    <mergeCell ref="G493:G494"/>
    <mergeCell ref="G499:G500"/>
    <mergeCell ref="G509:G510"/>
    <mergeCell ref="C175:D175"/>
    <mergeCell ref="C198:D198"/>
    <mergeCell ref="C200:D200"/>
    <mergeCell ref="G201:G202"/>
    <mergeCell ref="G214:G215"/>
    <mergeCell ref="C449:D449"/>
    <mergeCell ref="C454:D454"/>
    <mergeCell ref="C456:D456"/>
    <mergeCell ref="C271:D271"/>
    <mergeCell ref="C339:D339"/>
    <mergeCell ref="C188:D188"/>
    <mergeCell ref="C189:D189"/>
    <mergeCell ref="G189:G190"/>
    <mergeCell ref="C190:D190"/>
    <mergeCell ref="C192:D192"/>
    <mergeCell ref="C461:D461"/>
    <mergeCell ref="C463:D463"/>
    <mergeCell ref="G446:G447"/>
    <mergeCell ref="C415:D415"/>
    <mergeCell ref="C34:D34"/>
    <mergeCell ref="C39:D39"/>
    <mergeCell ref="C41:D41"/>
    <mergeCell ref="C46:D46"/>
    <mergeCell ref="C95:D95"/>
    <mergeCell ref="C122:D122"/>
    <mergeCell ref="C149:D149"/>
    <mergeCell ref="C155:D155"/>
    <mergeCell ref="C157:D157"/>
    <mergeCell ref="C147:D147"/>
    <mergeCell ref="C71:D71"/>
    <mergeCell ref="G96:G97"/>
    <mergeCell ref="C79:D79"/>
    <mergeCell ref="C77:D77"/>
    <mergeCell ref="C113:D113"/>
    <mergeCell ref="C105:D105"/>
    <mergeCell ref="C107:D107"/>
    <mergeCell ref="G220:G221"/>
    <mergeCell ref="C508:D508"/>
    <mergeCell ref="C512:D512"/>
    <mergeCell ref="G412:G413"/>
    <mergeCell ref="C85:D85"/>
    <mergeCell ref="C101:D101"/>
    <mergeCell ref="C87:D87"/>
    <mergeCell ref="C93:D93"/>
    <mergeCell ref="C104:D104"/>
    <mergeCell ref="C169:D169"/>
    <mergeCell ref="C173:D173"/>
    <mergeCell ref="C174:D174"/>
    <mergeCell ref="C483:D483"/>
    <mergeCell ref="C435:D435"/>
    <mergeCell ref="C437:D437"/>
    <mergeCell ref="C443:D443"/>
    <mergeCell ref="C445:D445"/>
    <mergeCell ref="C447:D447"/>
    <mergeCell ref="C575:D575"/>
    <mergeCell ref="C577:D577"/>
    <mergeCell ref="C485:D485"/>
    <mergeCell ref="C490:D490"/>
    <mergeCell ref="C502:D502"/>
    <mergeCell ref="C264:D264"/>
    <mergeCell ref="C398:D398"/>
    <mergeCell ref="C403:D403"/>
    <mergeCell ref="C411:D411"/>
    <mergeCell ref="C412:D412"/>
    <mergeCell ref="C413:D413"/>
    <mergeCell ref="C337:D337"/>
    <mergeCell ref="C341:D341"/>
    <mergeCell ref="C376:D376"/>
    <mergeCell ref="C377:D377"/>
    <mergeCell ref="C379:D379"/>
    <mergeCell ref="C394:D394"/>
    <mergeCell ref="C395:D395"/>
    <mergeCell ref="C468:D468"/>
    <mergeCell ref="C470:D470"/>
    <mergeCell ref="C475:D475"/>
    <mergeCell ref="C477:D477"/>
    <mergeCell ref="C422:D422"/>
    <mergeCell ref="C424:D424"/>
    <mergeCell ref="C32:D32"/>
    <mergeCell ref="C120:D120"/>
    <mergeCell ref="C590:D590"/>
    <mergeCell ref="C614:D614"/>
    <mergeCell ref="C598:D598"/>
    <mergeCell ref="C602:D602"/>
    <mergeCell ref="C194:D194"/>
    <mergeCell ref="C195:D195"/>
    <mergeCell ref="C196:D196"/>
    <mergeCell ref="C495:D495"/>
    <mergeCell ref="C492:D492"/>
    <mergeCell ref="C500:D500"/>
    <mergeCell ref="C213:D213"/>
    <mergeCell ref="C214:D214"/>
    <mergeCell ref="C215:D215"/>
    <mergeCell ref="C217:D217"/>
    <mergeCell ref="C219:D219"/>
    <mergeCell ref="C221:D221"/>
    <mergeCell ref="C223:D223"/>
    <mergeCell ref="C224:D224"/>
    <mergeCell ref="C522:D522"/>
    <mergeCell ref="C177:D177"/>
    <mergeCell ref="C496:D496"/>
    <mergeCell ref="C498:D498"/>
    <mergeCell ref="A1:E1"/>
    <mergeCell ref="A2:E2"/>
    <mergeCell ref="C3:D3"/>
    <mergeCell ref="C4:D4"/>
    <mergeCell ref="C12:D12"/>
    <mergeCell ref="C128:D128"/>
    <mergeCell ref="C176:D176"/>
    <mergeCell ref="C172:D172"/>
    <mergeCell ref="C186:D186"/>
    <mergeCell ref="C19:D19"/>
    <mergeCell ref="C26:D26"/>
    <mergeCell ref="C132:D132"/>
    <mergeCell ref="C134:D134"/>
    <mergeCell ref="C180:D180"/>
    <mergeCell ref="C48:D48"/>
    <mergeCell ref="C55:D55"/>
    <mergeCell ref="C63:D63"/>
    <mergeCell ref="C115:D115"/>
    <mergeCell ref="C61:D61"/>
    <mergeCell ref="C53:D53"/>
    <mergeCell ref="C69:D69"/>
    <mergeCell ref="C9:D9"/>
    <mergeCell ref="C17:D17"/>
    <mergeCell ref="C24:D24"/>
    <mergeCell ref="N100:P100"/>
    <mergeCell ref="C98:D98"/>
    <mergeCell ref="C99:D99"/>
    <mergeCell ref="C125:D125"/>
    <mergeCell ref="C126:D126"/>
    <mergeCell ref="C207:D207"/>
    <mergeCell ref="C209:D209"/>
    <mergeCell ref="G210:G211"/>
    <mergeCell ref="C211:D211"/>
    <mergeCell ref="G102:G103"/>
    <mergeCell ref="G108:G109"/>
    <mergeCell ref="G123:G124"/>
    <mergeCell ref="G195:G196"/>
    <mergeCell ref="G129:G130"/>
    <mergeCell ref="C141:D141"/>
    <mergeCell ref="C163:D163"/>
    <mergeCell ref="C165:D165"/>
    <mergeCell ref="C166:D166"/>
    <mergeCell ref="G166:G168"/>
    <mergeCell ref="C168:D168"/>
    <mergeCell ref="C178:D178"/>
    <mergeCell ref="C167:D167"/>
    <mergeCell ref="C170:D170"/>
    <mergeCell ref="C171:D171"/>
    <mergeCell ref="C582:D582"/>
    <mergeCell ref="C595:D595"/>
    <mergeCell ref="C596:D596"/>
    <mergeCell ref="C604:D604"/>
    <mergeCell ref="C610:D610"/>
    <mergeCell ref="C622:D622"/>
    <mergeCell ref="C616:D616"/>
    <mergeCell ref="C269:D269"/>
    <mergeCell ref="C274:D274"/>
    <mergeCell ref="C289:D289"/>
    <mergeCell ref="C290:D290"/>
    <mergeCell ref="C292:D292"/>
    <mergeCell ref="C299:D299"/>
    <mergeCell ref="C300:D300"/>
    <mergeCell ref="C302:D302"/>
    <mergeCell ref="C307:D307"/>
    <mergeCell ref="C308:D308"/>
    <mergeCell ref="C310:D310"/>
    <mergeCell ref="C315:D315"/>
    <mergeCell ref="C313:D313"/>
    <mergeCell ref="C311:D311"/>
    <mergeCell ref="C312:D312"/>
    <mergeCell ref="C336:D336"/>
    <mergeCell ref="C417:D417"/>
    <mergeCell ref="C429:D429"/>
    <mergeCell ref="C431:D431"/>
    <mergeCell ref="C432:D432"/>
    <mergeCell ref="G432:G433"/>
    <mergeCell ref="C433:D433"/>
    <mergeCell ref="C405:D405"/>
    <mergeCell ref="C406:D406"/>
    <mergeCell ref="G406:G407"/>
    <mergeCell ref="C407:D407"/>
    <mergeCell ref="C409:D409"/>
  </mergeCells>
  <dataValidations xWindow="509" yWindow="506" count="16">
    <dataValidation type="decimal" allowBlank="1" showInputMessage="1" showErrorMessage="1" errorTitle="Salah isi!" error="Nilai tidak boleh melebihi sel di bawahnya. Isikan sel di bawah terlebih dahulu." sqref="E102">
      <formula1>0</formula1>
      <formula2>E103</formula2>
    </dataValidation>
    <dataValidation type="decimal" allowBlank="1" showInputMessage="1" showErrorMessage="1" errorTitle="Salah isi!" error="Nilai tidak boleh melebihi nilai sel di atasnya." sqref="E124 E130">
      <formula1>0</formula1>
      <formula2>E123</formula2>
    </dataValidation>
    <dataValidation type="decimal" allowBlank="1" showInputMessage="1" showErrorMessage="1" errorTitle="Salah isi." error="Tidak mungkin jumlahnya melebihi jumlah sel di atasnya." sqref="E175">
      <formula1>0</formula1>
      <formula2>E174</formula2>
    </dataValidation>
    <dataValidation type="decimal" allowBlank="1" showInputMessage="1" showErrorMessage="1" errorTitle="Salah isi!" error="Isi sel ini tidak boleh melebihi isi sel di atasnya." sqref="E225 E253 E407 E413 E190">
      <formula1>0</formula1>
      <formula2>E189</formula2>
    </dataValidation>
    <dataValidation type="decimal" allowBlank="1" showInputMessage="1" showErrorMessage="1" errorTitle="Salah isi!" error="Nilai pada sel ini tidak boleh melebihi nilai sel di atasnya." sqref="E586">
      <formula1>0</formula1>
      <formula2>E585</formula2>
    </dataValidation>
    <dataValidation type="decimal" allowBlank="1" showInputMessage="1" showErrorMessage="1" sqref="E600">
      <formula1>0</formula1>
      <formula2>E599</formula2>
    </dataValidation>
    <dataValidation type="decimal" operator="greaterThanOrEqual" allowBlank="1" showInputMessage="1" showErrorMessage="1" sqref="E493:E494 E611 E585 E542 E538 E534 E530 E412 E432:E433 E446 E406 E499 E503:E504 E509:E510 E591:E594 E599 E96:E97 E224 E220 E214:E215 E210 E201:E206 E195:E196 E103 E108:E112 E230:E236 E189 E252 E241:E247">
      <formula1>0</formula1>
    </dataValidation>
    <dataValidation type="decimal" allowBlank="1" showInputMessage="1" showErrorMessage="1" errorTitle="Salah isi!" error="Masukkan nilai 1 s.d. 4." promptTitle="Rentang nilai:" prompt="1 s.d. 4." sqref="E398 E417 E424 E449 E456 E463 E470 E522 E577 E485 E264 E257 E115 E48 E12 E19 E34 E41 E134">
      <formula1>1</formula1>
      <formula2>4</formula2>
    </dataValidation>
    <dataValidation type="decimal" allowBlank="1" showInputMessage="1" showErrorMessage="1" errorTitle="Salah isi!" error="Rentang nilai 0 s.d. 4" promptTitle="Rentang Nilai" prompt="0 s.d. 4" sqref="E624 E616 E514 E569 E561 E553 E545 E437 E477 E339 E271 E180 E55 E63 E71 E79 E87 E141 E149 E157 E26">
      <formula1>0</formula1>
      <formula2>4</formula2>
    </dataValidation>
    <dataValidation type="decimal" allowBlank="1" showInputMessage="1" showErrorMessage="1" errorTitle="Salah isi!" error="Isikan nilai dengan rentang 0 s.d. 100." promptTitle="Rentang nilai:" prompt="0 s.d. 100." sqref="E393 E381 E383 E385 E391 E387 E375 E373 E369 E365 E367 E371 E363 E361 E275:E288 E335 E311:E312 E293:E298 E303:E306 E317 E351 E319 E321 E323 E331 E325 E329 E327 E333 E343 E357 E359 E353 E345 E349 E355 E347 E389">
      <formula1>0</formula1>
      <formula2>100</formula2>
    </dataValidation>
    <dataValidation type="decimal" operator="greaterThanOrEqual" allowBlank="1" showInputMessage="1" showErrorMessage="1" errorTitle="Salah isi!" error="Isikan bilangan positif." promptTitle="Rentang nilai:" sqref="E392 E390 E388 E386 E384 E382 E380 E374 E372 E370 E368 E366 E364 E362 E344 E342 E318 E320 E322 E324 E326 E328 E330 E332 E334 E316 E360 E358 E356 E354 E352 E350 E348 E346">
      <formula1>0</formula1>
    </dataValidation>
    <dataValidation type="decimal" allowBlank="1" showInputMessage="1" showErrorMessage="1" errorTitle="Salah isi!" error="Masukkan nilai 2 s.d. 4." promptTitle="Rentang nilai:" prompt="2 s.d. 4." sqref="E604">
      <formula1>2</formula1>
      <formula2>4</formula2>
    </dataValidation>
    <dataValidation type="decimal" operator="greaterThanOrEqual" allowBlank="1" showInputMessage="1" showErrorMessage="1" errorTitle="Salah isi!" error="Nilai pada sel ini tidak boleh melebihi nilai sel di atasnya." sqref="E612">
      <formula1>0</formula1>
    </dataValidation>
    <dataValidation type="decimal" operator="greaterThanOrEqual" allowBlank="1" showInputMessage="1" showErrorMessage="1" errorTitle="Salah isi." error="Tidak mungkin jumlahnya melebihi jumlah dosen tetap." sqref="E168:E170 E174">
      <formula1>0</formula1>
    </dataValidation>
    <dataValidation type="whole" allowBlank="1" showInputMessage="1" showErrorMessage="1" errorTitle="Salah isi!" error="Masukkan angka 0 atau 1." promptTitle="Rentang nilai:" prompt="0 atau 1." sqref="E166">
      <formula1>0</formula1>
      <formula2>1</formula2>
    </dataValidation>
    <dataValidation type="decimal" allowBlank="1" showInputMessage="1" showErrorMessage="1" errorTitle="Salah isi!" error="Rentang nilai 1 s.d. 4" promptTitle="Rentang Nilai" prompt="1 s.d. 4" sqref="E5:E8">
      <formula1>1</formula1>
      <formula2>4</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topLeftCell="B14" zoomScale="90" zoomScaleNormal="90" workbookViewId="0">
      <selection activeCell="G30" sqref="G30"/>
    </sheetView>
  </sheetViews>
  <sheetFormatPr defaultRowHeight="15" x14ac:dyDescent="0.25"/>
  <cols>
    <col min="1" max="1" width="5.7109375" style="2" customWidth="1"/>
    <col min="2" max="2" width="30.28515625" style="11" customWidth="1"/>
    <col min="3" max="3" width="9.140625" style="5"/>
    <col min="4" max="4" width="10.7109375" style="2" customWidth="1"/>
    <col min="5" max="5" width="33.28515625" style="5" customWidth="1"/>
    <col min="7" max="7" width="19" style="61" customWidth="1"/>
  </cols>
  <sheetData>
    <row r="1" spans="1:7" s="39" customFormat="1" ht="39" customHeight="1" x14ac:dyDescent="0.25">
      <c r="A1" s="642" t="s">
        <v>923</v>
      </c>
      <c r="B1" s="642"/>
      <c r="C1" s="642"/>
      <c r="D1" s="642"/>
      <c r="E1" s="642"/>
      <c r="G1" s="44"/>
    </row>
    <row r="2" spans="1:7" s="39" customFormat="1" ht="15.75" x14ac:dyDescent="0.25">
      <c r="A2" s="50"/>
      <c r="B2" s="343"/>
      <c r="C2" s="44"/>
      <c r="D2" s="42"/>
      <c r="E2" s="44"/>
      <c r="G2" s="44"/>
    </row>
    <row r="3" spans="1:7" s="39" customFormat="1" ht="15.75" x14ac:dyDescent="0.25">
      <c r="A3" s="41" t="s">
        <v>34</v>
      </c>
      <c r="B3" s="343"/>
      <c r="C3" s="44"/>
      <c r="D3" s="42"/>
      <c r="E3" s="44"/>
      <c r="G3" s="44"/>
    </row>
    <row r="4" spans="1:7" s="39" customFormat="1" ht="15.75" x14ac:dyDescent="0.25">
      <c r="A4" s="721"/>
      <c r="B4" s="721"/>
      <c r="C4" s="44"/>
      <c r="D4" s="42"/>
      <c r="E4" s="44"/>
      <c r="G4" s="44"/>
    </row>
    <row r="5" spans="1:7" s="39" customFormat="1" ht="19.5" customHeight="1" x14ac:dyDescent="0.25">
      <c r="A5" s="644" t="s">
        <v>35</v>
      </c>
      <c r="B5" s="644"/>
      <c r="C5" s="94" t="str">
        <f>'F1'!D5</f>
        <v>: &lt;Isi Nama PT&gt;</v>
      </c>
      <c r="D5" s="42"/>
      <c r="E5" s="44"/>
      <c r="G5" s="44"/>
    </row>
    <row r="6" spans="1:7" s="39" customFormat="1" ht="19.5" customHeight="1" x14ac:dyDescent="0.25">
      <c r="A6" s="644" t="s">
        <v>36</v>
      </c>
      <c r="B6" s="644"/>
      <c r="C6" s="94" t="str">
        <f>'F1'!D6</f>
        <v>: &lt;Isi Nama Fakultas&gt;</v>
      </c>
      <c r="D6" s="42"/>
      <c r="E6" s="44"/>
      <c r="G6" s="44"/>
    </row>
    <row r="7" spans="1:7" s="39" customFormat="1" ht="19.5" customHeight="1" x14ac:dyDescent="0.25">
      <c r="A7" s="644" t="s">
        <v>37</v>
      </c>
      <c r="B7" s="644"/>
      <c r="C7" s="94" t="str">
        <f>'F1'!D7</f>
        <v>: &lt;Isi Nama PS&gt;</v>
      </c>
      <c r="D7" s="42"/>
      <c r="E7" s="44"/>
      <c r="G7" s="44"/>
    </row>
    <row r="8" spans="1:7" s="39" customFormat="1" ht="19.5" customHeight="1" x14ac:dyDescent="0.25">
      <c r="A8" s="644" t="s">
        <v>38</v>
      </c>
      <c r="B8" s="644"/>
      <c r="C8" s="94" t="str">
        <f>'F1'!D8</f>
        <v>: &lt;Isi Nama Asesor&gt;</v>
      </c>
      <c r="D8" s="42"/>
      <c r="E8" s="44"/>
      <c r="G8" s="44"/>
    </row>
    <row r="9" spans="1:7" s="39" customFormat="1" ht="19.5" customHeight="1" x14ac:dyDescent="0.25">
      <c r="A9" s="346" t="s">
        <v>307</v>
      </c>
      <c r="B9" s="346"/>
      <c r="C9" s="94" t="str">
        <f>'F1'!D9</f>
        <v>: &lt;Isi Kode Panel&gt;</v>
      </c>
      <c r="D9" s="42"/>
      <c r="E9" s="44"/>
      <c r="G9" s="44"/>
    </row>
    <row r="10" spans="1:7" s="39" customFormat="1" ht="19.5" customHeight="1" x14ac:dyDescent="0.25">
      <c r="A10" s="644" t="s">
        <v>0</v>
      </c>
      <c r="B10" s="644"/>
      <c r="C10" s="94" t="str">
        <f>'F1'!D10</f>
        <v>: &lt;Isi Tanggal Penilaian&gt;</v>
      </c>
      <c r="D10" s="42"/>
      <c r="E10" s="44"/>
      <c r="G10" s="44"/>
    </row>
    <row r="11" spans="1:7" s="39" customFormat="1" ht="16.5" thickBot="1" x14ac:dyDescent="0.3">
      <c r="A11" s="340"/>
      <c r="B11" s="343"/>
      <c r="C11" s="44"/>
      <c r="D11" s="42"/>
      <c r="E11" s="44"/>
      <c r="G11" s="44"/>
    </row>
    <row r="12" spans="1:7" s="30" customFormat="1" ht="15.75" customHeight="1" x14ac:dyDescent="0.25">
      <c r="A12" s="717" t="s">
        <v>1</v>
      </c>
      <c r="B12" s="719" t="s">
        <v>3</v>
      </c>
      <c r="C12" s="713" t="s">
        <v>5</v>
      </c>
      <c r="D12" s="713" t="s">
        <v>103</v>
      </c>
      <c r="E12" s="715" t="s">
        <v>238</v>
      </c>
      <c r="G12" s="709" t="s">
        <v>737</v>
      </c>
    </row>
    <row r="13" spans="1:7" s="30" customFormat="1" ht="40.5" customHeight="1" x14ac:dyDescent="0.25">
      <c r="A13" s="718"/>
      <c r="B13" s="720"/>
      <c r="C13" s="714"/>
      <c r="D13" s="714"/>
      <c r="E13" s="716"/>
      <c r="G13" s="710"/>
    </row>
    <row r="14" spans="1:7" s="30" customFormat="1" ht="15.75" thickBot="1" x14ac:dyDescent="0.3">
      <c r="A14" s="142" t="s">
        <v>262</v>
      </c>
      <c r="B14" s="111" t="s">
        <v>263</v>
      </c>
      <c r="C14" s="111" t="s">
        <v>264</v>
      </c>
      <c r="D14" s="111" t="s">
        <v>265</v>
      </c>
      <c r="E14" s="424" t="s">
        <v>266</v>
      </c>
      <c r="G14" s="254"/>
    </row>
    <row r="15" spans="1:7" s="30" customFormat="1" ht="64.5" customHeight="1" x14ac:dyDescent="0.25">
      <c r="A15" s="143">
        <v>1</v>
      </c>
      <c r="B15" s="144" t="s">
        <v>43</v>
      </c>
      <c r="C15" s="351"/>
      <c r="D15" s="425"/>
      <c r="E15" s="426"/>
      <c r="G15" s="253"/>
    </row>
    <row r="16" spans="1:7" s="30" customFormat="1" ht="103.5" customHeight="1" x14ac:dyDescent="0.25">
      <c r="A16" s="145" t="s">
        <v>44</v>
      </c>
      <c r="B16" s="146" t="s">
        <v>45</v>
      </c>
      <c r="C16" s="339">
        <v>12.5</v>
      </c>
      <c r="D16" s="338">
        <v>4</v>
      </c>
      <c r="E16" s="106"/>
      <c r="G16" s="457">
        <f>C16*D16</f>
        <v>50</v>
      </c>
    </row>
    <row r="17" spans="1:7" s="30" customFormat="1" ht="88.5" customHeight="1" x14ac:dyDescent="0.25">
      <c r="A17" s="145" t="s">
        <v>46</v>
      </c>
      <c r="B17" s="146" t="s">
        <v>47</v>
      </c>
      <c r="C17" s="339">
        <v>12.5</v>
      </c>
      <c r="D17" s="338">
        <v>4</v>
      </c>
      <c r="E17" s="106"/>
      <c r="G17" s="457">
        <f t="shared" ref="G17:G29" si="0">C17*D17</f>
        <v>50</v>
      </c>
    </row>
    <row r="18" spans="1:7" s="30" customFormat="1" ht="69" customHeight="1" x14ac:dyDescent="0.25">
      <c r="A18" s="147">
        <v>2</v>
      </c>
      <c r="B18" s="148" t="s">
        <v>48</v>
      </c>
      <c r="C18" s="352"/>
      <c r="D18" s="353"/>
      <c r="E18" s="354"/>
      <c r="G18" s="457">
        <f t="shared" si="0"/>
        <v>0</v>
      </c>
    </row>
    <row r="19" spans="1:7" s="30" customFormat="1" ht="75.75" customHeight="1" x14ac:dyDescent="0.25">
      <c r="A19" s="145" t="s">
        <v>44</v>
      </c>
      <c r="B19" s="146" t="s">
        <v>49</v>
      </c>
      <c r="C19" s="339">
        <v>7.5</v>
      </c>
      <c r="D19" s="338">
        <v>4</v>
      </c>
      <c r="E19" s="106"/>
      <c r="G19" s="457">
        <f t="shared" si="0"/>
        <v>30</v>
      </c>
    </row>
    <row r="20" spans="1:7" s="30" customFormat="1" ht="66.75" customHeight="1" x14ac:dyDescent="0.25">
      <c r="A20" s="145" t="s">
        <v>46</v>
      </c>
      <c r="B20" s="146" t="s">
        <v>50</v>
      </c>
      <c r="C20" s="339">
        <v>7.5</v>
      </c>
      <c r="D20" s="338">
        <v>4</v>
      </c>
      <c r="E20" s="106"/>
      <c r="G20" s="457">
        <f t="shared" si="0"/>
        <v>30</v>
      </c>
    </row>
    <row r="21" spans="1:7" s="30" customFormat="1" ht="80.25" customHeight="1" x14ac:dyDescent="0.25">
      <c r="A21" s="145" t="s">
        <v>51</v>
      </c>
      <c r="B21" s="146" t="s">
        <v>52</v>
      </c>
      <c r="C21" s="339">
        <v>7.5</v>
      </c>
      <c r="D21" s="338">
        <v>4</v>
      </c>
      <c r="E21" s="106"/>
      <c r="G21" s="457">
        <f t="shared" si="0"/>
        <v>30</v>
      </c>
    </row>
    <row r="22" spans="1:7" s="30" customFormat="1" ht="83.25" customHeight="1" x14ac:dyDescent="0.25">
      <c r="A22" s="145" t="s">
        <v>53</v>
      </c>
      <c r="B22" s="146" t="s">
        <v>54</v>
      </c>
      <c r="C22" s="339">
        <v>7.5</v>
      </c>
      <c r="D22" s="338">
        <v>4</v>
      </c>
      <c r="E22" s="106"/>
      <c r="G22" s="457">
        <f t="shared" si="0"/>
        <v>30</v>
      </c>
    </row>
    <row r="23" spans="1:7" s="30" customFormat="1" ht="43.5" customHeight="1" x14ac:dyDescent="0.25">
      <c r="A23" s="147">
        <v>3</v>
      </c>
      <c r="B23" s="148" t="s">
        <v>55</v>
      </c>
      <c r="C23" s="352"/>
      <c r="D23" s="353"/>
      <c r="E23" s="354"/>
      <c r="G23" s="457">
        <f t="shared" si="0"/>
        <v>0</v>
      </c>
    </row>
    <row r="24" spans="1:7" s="30" customFormat="1" ht="76.5" customHeight="1" x14ac:dyDescent="0.25">
      <c r="A24" s="145" t="s">
        <v>44</v>
      </c>
      <c r="B24" s="146" t="s">
        <v>56</v>
      </c>
      <c r="C24" s="339">
        <v>10</v>
      </c>
      <c r="D24" s="338">
        <v>4</v>
      </c>
      <c r="E24" s="106"/>
      <c r="G24" s="457">
        <f t="shared" si="0"/>
        <v>40</v>
      </c>
    </row>
    <row r="25" spans="1:7" s="30" customFormat="1" ht="74.25" customHeight="1" x14ac:dyDescent="0.25">
      <c r="A25" s="145" t="s">
        <v>46</v>
      </c>
      <c r="B25" s="146" t="s">
        <v>57</v>
      </c>
      <c r="C25" s="339">
        <v>5</v>
      </c>
      <c r="D25" s="338">
        <v>4</v>
      </c>
      <c r="E25" s="106"/>
      <c r="G25" s="457">
        <f t="shared" si="0"/>
        <v>20</v>
      </c>
    </row>
    <row r="26" spans="1:7" s="30" customFormat="1" ht="72" customHeight="1" x14ac:dyDescent="0.25">
      <c r="A26" s="145" t="s">
        <v>51</v>
      </c>
      <c r="B26" s="146" t="s">
        <v>58</v>
      </c>
      <c r="C26" s="339">
        <v>5</v>
      </c>
      <c r="D26" s="338">
        <v>4</v>
      </c>
      <c r="E26" s="106"/>
      <c r="G26" s="457">
        <f t="shared" si="0"/>
        <v>20</v>
      </c>
    </row>
    <row r="27" spans="1:7" s="30" customFormat="1" ht="36" customHeight="1" x14ac:dyDescent="0.25">
      <c r="A27" s="147">
        <v>4</v>
      </c>
      <c r="B27" s="148" t="s">
        <v>59</v>
      </c>
      <c r="C27" s="352"/>
      <c r="D27" s="353"/>
      <c r="E27" s="354"/>
      <c r="G27" s="457">
        <f t="shared" si="0"/>
        <v>0</v>
      </c>
    </row>
    <row r="28" spans="1:7" s="30" customFormat="1" ht="72" customHeight="1" x14ac:dyDescent="0.25">
      <c r="A28" s="145" t="s">
        <v>44</v>
      </c>
      <c r="B28" s="146" t="s">
        <v>60</v>
      </c>
      <c r="C28" s="339">
        <v>12.5</v>
      </c>
      <c r="D28" s="338">
        <v>4</v>
      </c>
      <c r="E28" s="106"/>
      <c r="G28" s="457">
        <f t="shared" si="0"/>
        <v>50</v>
      </c>
    </row>
    <row r="29" spans="1:7" s="30" customFormat="1" ht="69.75" customHeight="1" thickBot="1" x14ac:dyDescent="0.3">
      <c r="A29" s="149" t="s">
        <v>46</v>
      </c>
      <c r="B29" s="150" t="s">
        <v>61</v>
      </c>
      <c r="C29" s="355">
        <v>12.5</v>
      </c>
      <c r="D29" s="107">
        <v>4</v>
      </c>
      <c r="E29" s="108"/>
      <c r="G29" s="458">
        <f t="shared" si="0"/>
        <v>50</v>
      </c>
    </row>
    <row r="30" spans="1:7" s="30" customFormat="1" ht="33.75" customHeight="1" thickBot="1" x14ac:dyDescent="0.3">
      <c r="A30" s="711" t="s">
        <v>62</v>
      </c>
      <c r="B30" s="712"/>
      <c r="C30" s="109">
        <v>100</v>
      </c>
      <c r="D30" s="109"/>
      <c r="E30" s="427"/>
      <c r="G30" s="459">
        <f>SUM(G16:G29)</f>
        <v>400</v>
      </c>
    </row>
    <row r="31" spans="1:7" s="39" customFormat="1" ht="27" customHeight="1" x14ac:dyDescent="0.25">
      <c r="A31" s="51" t="s">
        <v>239</v>
      </c>
      <c r="B31" s="343"/>
      <c r="C31" s="44"/>
      <c r="D31" s="42"/>
      <c r="E31" s="44"/>
      <c r="G31" s="44"/>
    </row>
    <row r="32" spans="1:7" s="39" customFormat="1" ht="15" customHeight="1" x14ac:dyDescent="0.25">
      <c r="A32" s="42"/>
      <c r="B32" s="343"/>
      <c r="C32" s="44"/>
      <c r="D32" s="95" t="str">
        <f>'F1'!D91</f>
        <v xml:space="preserve"> Jakarta, …..-……- 2014</v>
      </c>
      <c r="E32" s="95"/>
      <c r="G32" s="44"/>
    </row>
    <row r="33" spans="1:7" s="39" customFormat="1" ht="15.75" customHeight="1" x14ac:dyDescent="0.25">
      <c r="A33" s="340"/>
      <c r="B33" s="343"/>
      <c r="C33" s="44"/>
      <c r="D33" s="95"/>
      <c r="E33" s="53"/>
      <c r="G33" s="44"/>
    </row>
    <row r="34" spans="1:7" s="39" customFormat="1" ht="16.5" customHeight="1" x14ac:dyDescent="0.25">
      <c r="A34" s="42"/>
      <c r="B34" s="343"/>
      <c r="C34" s="44"/>
      <c r="D34" s="95" t="str">
        <f>'F1'!D93:F93</f>
        <v xml:space="preserve">Nama Asesor   : </v>
      </c>
      <c r="E34" s="55"/>
      <c r="G34" s="44"/>
    </row>
    <row r="35" spans="1:7" s="39" customFormat="1" ht="18.75" customHeight="1" x14ac:dyDescent="0.25">
      <c r="A35" s="340"/>
      <c r="B35" s="343"/>
      <c r="C35" s="44"/>
      <c r="D35" s="52"/>
      <c r="E35" s="53"/>
      <c r="G35" s="44"/>
    </row>
    <row r="36" spans="1:7" s="39" customFormat="1" ht="23.25" customHeight="1" x14ac:dyDescent="0.25">
      <c r="A36" s="340"/>
      <c r="B36" s="343"/>
      <c r="C36" s="44"/>
      <c r="D36" s="95" t="str">
        <f>'F1'!D96</f>
        <v>Tanda Tangan :</v>
      </c>
      <c r="E36" s="53"/>
      <c r="G36" s="44"/>
    </row>
    <row r="37" spans="1:7" s="39" customFormat="1" ht="15" customHeight="1" x14ac:dyDescent="0.25">
      <c r="A37" s="341"/>
      <c r="B37" s="56"/>
      <c r="C37" s="44"/>
      <c r="D37" s="54"/>
      <c r="E37" s="55"/>
      <c r="G37" s="44"/>
    </row>
    <row r="38" spans="1:7" s="39" customFormat="1" ht="15.75" customHeight="1" x14ac:dyDescent="0.25">
      <c r="A38" s="341"/>
      <c r="B38" s="56"/>
      <c r="C38" s="44"/>
      <c r="D38" s="92"/>
      <c r="E38" s="44"/>
      <c r="G38" s="44"/>
    </row>
    <row r="39" spans="1:7" s="39" customFormat="1" ht="15.75" customHeight="1" x14ac:dyDescent="0.25">
      <c r="A39" s="341"/>
      <c r="B39" s="56"/>
      <c r="C39" s="44"/>
      <c r="D39" s="57"/>
      <c r="E39" s="44"/>
      <c r="G39" s="44"/>
    </row>
    <row r="40" spans="1:7" s="39" customFormat="1" ht="15" customHeight="1" x14ac:dyDescent="0.25">
      <c r="A40" s="56"/>
      <c r="B40" s="56"/>
      <c r="C40" s="49"/>
      <c r="D40" s="42"/>
      <c r="E40" s="44"/>
      <c r="G40" s="44"/>
    </row>
    <row r="41" spans="1:7" s="39" customFormat="1" ht="15" customHeight="1" x14ac:dyDescent="0.25">
      <c r="A41" s="56"/>
      <c r="B41" s="56"/>
      <c r="C41" s="49"/>
      <c r="D41" s="42"/>
      <c r="E41" s="44"/>
      <c r="G41" s="44"/>
    </row>
    <row r="42" spans="1:7" x14ac:dyDescent="0.25">
      <c r="A42" s="12"/>
      <c r="B42" s="12"/>
      <c r="C42" s="25"/>
      <c r="G42" s="151"/>
    </row>
    <row r="43" spans="1:7" ht="15.75" x14ac:dyDescent="0.25">
      <c r="A43" s="3"/>
    </row>
    <row r="44" spans="1:7" ht="15.75" x14ac:dyDescent="0.25">
      <c r="A44" s="3"/>
    </row>
    <row r="45" spans="1:7" ht="15" customHeight="1" x14ac:dyDescent="0.25">
      <c r="A45" s="91"/>
      <c r="B45" s="91"/>
      <c r="C45" s="25"/>
    </row>
    <row r="46" spans="1:7" x14ac:dyDescent="0.25">
      <c r="A46" s="91"/>
      <c r="B46" s="91"/>
      <c r="C46" s="25"/>
    </row>
    <row r="47" spans="1:7" x14ac:dyDescent="0.25">
      <c r="A47" s="91"/>
      <c r="B47" s="91"/>
      <c r="C47" s="25"/>
    </row>
    <row r="48" spans="1:7" ht="15" customHeight="1" x14ac:dyDescent="0.25">
      <c r="A48" s="91"/>
      <c r="B48" s="91"/>
      <c r="C48" s="25"/>
    </row>
    <row r="49" spans="1:3" x14ac:dyDescent="0.25">
      <c r="A49" s="91"/>
      <c r="B49" s="91"/>
      <c r="C49" s="25"/>
    </row>
    <row r="50" spans="1:3" x14ac:dyDescent="0.25">
      <c r="A50" s="91"/>
      <c r="B50" s="91"/>
      <c r="C50" s="25"/>
    </row>
  </sheetData>
  <sheetProtection password="C5FE" sheet="1" objects="1" scenarios="1" formatCells="0" formatColumns="0" formatRows="0"/>
  <mergeCells count="14">
    <mergeCell ref="A1:E1"/>
    <mergeCell ref="G12:G13"/>
    <mergeCell ref="A30:B30"/>
    <mergeCell ref="D12:D13"/>
    <mergeCell ref="E12:E13"/>
    <mergeCell ref="A12:A13"/>
    <mergeCell ref="B12:B13"/>
    <mergeCell ref="C12:C13"/>
    <mergeCell ref="A10:B10"/>
    <mergeCell ref="A4:B4"/>
    <mergeCell ref="A5:B5"/>
    <mergeCell ref="A6:B6"/>
    <mergeCell ref="A7:B7"/>
    <mergeCell ref="A8:B8"/>
  </mergeCells>
  <pageMargins left="0.70866141732283472" right="0.70866141732283472" top="0.74803149606299213" bottom="0.74803149606299213" header="0.31496062992125984" footer="0.31496062992125984"/>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topLeftCell="A38" workbookViewId="0">
      <selection activeCell="F38" sqref="F38"/>
    </sheetView>
  </sheetViews>
  <sheetFormatPr defaultRowHeight="15" x14ac:dyDescent="0.25"/>
  <cols>
    <col min="1" max="1" width="5.42578125" style="2" customWidth="1"/>
    <col min="2" max="2" width="10.28515625" style="2" customWidth="1"/>
    <col min="3" max="3" width="24.7109375" style="17" customWidth="1"/>
    <col min="4" max="4" width="30.7109375" style="2" customWidth="1"/>
    <col min="5" max="5" width="8.28515625" style="2" customWidth="1"/>
    <col min="6" max="6" width="7.42578125" style="5" customWidth="1"/>
    <col min="8" max="8" width="9.140625" style="30"/>
    <col min="9" max="9" width="14.7109375" style="30" customWidth="1"/>
  </cols>
  <sheetData>
    <row r="1" spans="1:11" s="39" customFormat="1" ht="37.5" customHeight="1" x14ac:dyDescent="0.25">
      <c r="A1" s="722" t="s">
        <v>924</v>
      </c>
      <c r="B1" s="722"/>
      <c r="C1" s="722"/>
      <c r="D1" s="722"/>
      <c r="E1" s="722"/>
      <c r="F1" s="722"/>
      <c r="G1" s="58"/>
      <c r="H1" s="58"/>
    </row>
    <row r="2" spans="1:11" s="39" customFormat="1" ht="15.75" x14ac:dyDescent="0.25">
      <c r="A2" s="50"/>
      <c r="B2" s="42"/>
      <c r="C2" s="59"/>
      <c r="D2" s="42"/>
      <c r="E2" s="42"/>
      <c r="F2" s="44"/>
    </row>
    <row r="3" spans="1:11" s="39" customFormat="1" ht="15.75" x14ac:dyDescent="0.25">
      <c r="A3" s="41" t="s">
        <v>34</v>
      </c>
      <c r="B3" s="42"/>
      <c r="C3" s="59"/>
      <c r="D3" s="42"/>
      <c r="E3" s="42"/>
      <c r="F3" s="44"/>
    </row>
    <row r="4" spans="1:11" s="39" customFormat="1" ht="15.75" x14ac:dyDescent="0.25">
      <c r="A4" s="340"/>
      <c r="B4" s="42"/>
      <c r="C4" s="59"/>
      <c r="D4" s="42"/>
      <c r="E4" s="42"/>
      <c r="F4" s="44"/>
    </row>
    <row r="5" spans="1:11" s="39" customFormat="1" ht="15.75" x14ac:dyDescent="0.25">
      <c r="A5" s="644" t="s">
        <v>35</v>
      </c>
      <c r="B5" s="644"/>
      <c r="C5" s="644"/>
      <c r="D5" s="336" t="str">
        <f>'F1'!D5</f>
        <v>: &lt;Isi Nama PT&gt;</v>
      </c>
      <c r="E5" s="336"/>
      <c r="F5" s="44"/>
    </row>
    <row r="6" spans="1:11" s="39" customFormat="1" ht="15.75" x14ac:dyDescent="0.25">
      <c r="A6" s="644" t="s">
        <v>36</v>
      </c>
      <c r="B6" s="644"/>
      <c r="C6" s="644"/>
      <c r="D6" s="336" t="str">
        <f>'F1'!D6</f>
        <v>: &lt;Isi Nama Fakultas&gt;</v>
      </c>
      <c r="E6" s="336"/>
      <c r="F6" s="44"/>
    </row>
    <row r="7" spans="1:11" s="39" customFormat="1" ht="15.75" x14ac:dyDescent="0.25">
      <c r="A7" s="644" t="s">
        <v>38</v>
      </c>
      <c r="B7" s="644"/>
      <c r="C7" s="644"/>
      <c r="D7" s="336" t="str">
        <f>'F1'!D8</f>
        <v>: &lt;Isi Nama Asesor&gt;</v>
      </c>
      <c r="E7" s="336"/>
      <c r="F7" s="44"/>
    </row>
    <row r="8" spans="1:11" s="39" customFormat="1" ht="15.75" x14ac:dyDescent="0.25">
      <c r="A8" s="644" t="s">
        <v>307</v>
      </c>
      <c r="B8" s="644"/>
      <c r="C8" s="644"/>
      <c r="D8" s="336" t="str">
        <f>'F1'!D9</f>
        <v>: &lt;Isi Kode Panel&gt;</v>
      </c>
      <c r="E8" s="336"/>
      <c r="F8" s="44"/>
    </row>
    <row r="9" spans="1:11" s="39" customFormat="1" ht="15.75" x14ac:dyDescent="0.25">
      <c r="A9" s="644" t="s">
        <v>0</v>
      </c>
      <c r="B9" s="644"/>
      <c r="C9" s="644"/>
      <c r="D9" s="336" t="str">
        <f>'F1'!D10</f>
        <v>: &lt;Isi Tanggal Penilaian&gt;</v>
      </c>
      <c r="E9" s="336"/>
      <c r="F9" s="44"/>
    </row>
    <row r="10" spans="1:11" s="39" customFormat="1" ht="15.75" hidden="1" x14ac:dyDescent="0.25">
      <c r="A10" s="340"/>
      <c r="B10" s="42"/>
      <c r="C10" s="59"/>
      <c r="D10" s="42"/>
      <c r="E10" s="42"/>
      <c r="F10" s="44"/>
    </row>
    <row r="11" spans="1:11" s="39" customFormat="1" ht="16.5" thickBot="1" x14ac:dyDescent="0.3">
      <c r="A11" s="340"/>
      <c r="B11" s="42"/>
      <c r="C11" s="59"/>
      <c r="D11" s="42"/>
      <c r="E11" s="42"/>
      <c r="F11" s="44"/>
    </row>
    <row r="12" spans="1:11" s="15" customFormat="1" ht="59.25" customHeight="1" thickBot="1" x14ac:dyDescent="0.3">
      <c r="A12" s="112" t="s">
        <v>1</v>
      </c>
      <c r="B12" s="123" t="s">
        <v>2</v>
      </c>
      <c r="C12" s="123" t="s">
        <v>3</v>
      </c>
      <c r="D12" s="123" t="s">
        <v>240</v>
      </c>
      <c r="E12" s="123" t="s">
        <v>5</v>
      </c>
      <c r="F12" s="124" t="s">
        <v>103</v>
      </c>
      <c r="G12" s="30"/>
      <c r="H12" s="112" t="s">
        <v>5</v>
      </c>
      <c r="I12" s="113" t="s">
        <v>110</v>
      </c>
      <c r="J12" s="348"/>
      <c r="K12" s="348"/>
    </row>
    <row r="13" spans="1:11" s="15" customFormat="1" ht="105" customHeight="1" x14ac:dyDescent="0.25">
      <c r="A13" s="126">
        <v>1</v>
      </c>
      <c r="B13" s="153" t="s">
        <v>64</v>
      </c>
      <c r="C13" s="115" t="s">
        <v>167</v>
      </c>
      <c r="D13" s="115" t="str">
        <f>hitung_F3!G4</f>
        <v>Kejelasan dan kerealistikan visi, misi, tujuan, dan sasaran Fakultas/Sekolah Tinggi: …</v>
      </c>
      <c r="E13" s="252">
        <f>H13</f>
        <v>1.8518518518518516</v>
      </c>
      <c r="F13" s="154">
        <f>hitung_F3!E9</f>
        <v>4</v>
      </c>
      <c r="G13" s="30"/>
      <c r="H13" s="328">
        <v>1.8518518518518516</v>
      </c>
      <c r="I13" s="329">
        <f>F13*H13</f>
        <v>7.4074074074074066</v>
      </c>
    </row>
    <row r="14" spans="1:11" s="15" customFormat="1" ht="108.75" customHeight="1" x14ac:dyDescent="0.25">
      <c r="A14" s="155">
        <f>A13+1</f>
        <v>2</v>
      </c>
      <c r="B14" s="135" t="s">
        <v>65</v>
      </c>
      <c r="C14" s="156" t="s">
        <v>7</v>
      </c>
      <c r="D14" s="117" t="str">
        <f>hitung_F3!G11</f>
        <v>Strategi pencapaian sasaran dengan rentang waktu yang jelas dan didukung oleh dokumen: …</v>
      </c>
      <c r="E14" s="248">
        <f t="shared" ref="E14:E57" si="0">H14</f>
        <v>1.8518518518518516</v>
      </c>
      <c r="F14" s="119">
        <f>hitung_F3!E16</f>
        <v>4</v>
      </c>
      <c r="G14" s="30"/>
      <c r="H14" s="330">
        <v>1.8518518518518516</v>
      </c>
      <c r="I14" s="331">
        <f t="shared" ref="I14:I57" si="1">F14*H14</f>
        <v>7.4074074074074066</v>
      </c>
    </row>
    <row r="15" spans="1:11" s="15" customFormat="1" ht="129.75" customHeight="1" x14ac:dyDescent="0.25">
      <c r="A15" s="155">
        <f t="shared" ref="A15:A57" si="2">A14+1</f>
        <v>3</v>
      </c>
      <c r="B15" s="157">
        <v>1.2</v>
      </c>
      <c r="C15" s="117" t="s">
        <v>168</v>
      </c>
      <c r="D15" s="117" t="str">
        <f>hitung_F3!G18</f>
        <v>Efektivitas sosialisasi visi, misi PS. Tingkat pemahaman sivitas akademika dan tenaga kependidikan: …</v>
      </c>
      <c r="E15" s="248">
        <f t="shared" si="0"/>
        <v>1.8518518518518516</v>
      </c>
      <c r="F15" s="119">
        <f>hitung_F3!E23</f>
        <v>4</v>
      </c>
      <c r="G15" s="30"/>
      <c r="H15" s="330">
        <v>1.8518518518518516</v>
      </c>
      <c r="I15" s="331">
        <f t="shared" si="1"/>
        <v>7.4074074074074066</v>
      </c>
    </row>
    <row r="16" spans="1:11" s="15" customFormat="1" ht="108" customHeight="1" x14ac:dyDescent="0.25">
      <c r="A16" s="155">
        <f t="shared" si="2"/>
        <v>4</v>
      </c>
      <c r="B16" s="157">
        <v>2.1</v>
      </c>
      <c r="C16" s="117" t="s">
        <v>66</v>
      </c>
      <c r="D16" s="117" t="str">
        <f>hitung_F3!G25</f>
        <v>Tata pamong pada UP PS: …</v>
      </c>
      <c r="E16" s="248">
        <f t="shared" si="0"/>
        <v>3.333333333333333</v>
      </c>
      <c r="F16" s="119">
        <f>hitung_F3!E31</f>
        <v>4</v>
      </c>
      <c r="G16" s="30"/>
      <c r="H16" s="330">
        <v>3.333333333333333</v>
      </c>
      <c r="I16" s="331">
        <f t="shared" si="1"/>
        <v>13.333333333333332</v>
      </c>
    </row>
    <row r="17" spans="1:9" s="15" customFormat="1" ht="120.75" customHeight="1" x14ac:dyDescent="0.25">
      <c r="A17" s="155">
        <f t="shared" si="2"/>
        <v>5</v>
      </c>
      <c r="B17" s="157">
        <v>2.2000000000000002</v>
      </c>
      <c r="C17" s="135" t="s">
        <v>67</v>
      </c>
      <c r="D17" s="117" t="str">
        <f>hitung_F3!G33</f>
        <v>Kelengkapan dan efisiensi dalam struktur organisasi, serta dukungan struktur organisasi terhadap pengelolaan PS: …</v>
      </c>
      <c r="E17" s="248">
        <f t="shared" si="0"/>
        <v>1.6666666666666665</v>
      </c>
      <c r="F17" s="119">
        <f>hitung_F3!E38</f>
        <v>4</v>
      </c>
      <c r="G17" s="31"/>
      <c r="H17" s="330">
        <v>1.6666666666666665</v>
      </c>
      <c r="I17" s="331">
        <f t="shared" si="1"/>
        <v>6.6666666666666661</v>
      </c>
    </row>
    <row r="18" spans="1:9" s="15" customFormat="1" ht="96.75" customHeight="1" x14ac:dyDescent="0.25">
      <c r="A18" s="155">
        <f t="shared" si="2"/>
        <v>6</v>
      </c>
      <c r="B18" s="157">
        <v>2.2999999999999998</v>
      </c>
      <c r="C18" s="117" t="s">
        <v>169</v>
      </c>
      <c r="D18" s="117" t="str">
        <f>hitung_F3!G40</f>
        <v>Kepemimpinan fakultas: …</v>
      </c>
      <c r="E18" s="248">
        <f t="shared" si="0"/>
        <v>3.333333333333333</v>
      </c>
      <c r="F18" s="119">
        <f>hitung_F3!E45</f>
        <v>4</v>
      </c>
      <c r="G18" s="30"/>
      <c r="H18" s="330">
        <v>3.333333333333333</v>
      </c>
      <c r="I18" s="331">
        <f t="shared" si="1"/>
        <v>13.333333333333332</v>
      </c>
    </row>
    <row r="19" spans="1:9" s="15" customFormat="1" ht="111" customHeight="1" x14ac:dyDescent="0.25">
      <c r="A19" s="155">
        <f t="shared" si="2"/>
        <v>7</v>
      </c>
      <c r="B19" s="157">
        <v>2.4</v>
      </c>
      <c r="C19" s="135" t="s">
        <v>170</v>
      </c>
      <c r="D19" s="117" t="str">
        <f>hitung_F3!G47</f>
        <v>Sistem pengelolaan fungsional dan operasional Fakultas/Sekolah Tinggi: …</v>
      </c>
      <c r="E19" s="248">
        <f t="shared" si="0"/>
        <v>3.333333333333333</v>
      </c>
      <c r="F19" s="119">
        <f>hitung_F3!E52</f>
        <v>4</v>
      </c>
      <c r="G19" s="30"/>
      <c r="H19" s="330">
        <v>3.333333333333333</v>
      </c>
      <c r="I19" s="331">
        <f t="shared" si="1"/>
        <v>13.333333333333332</v>
      </c>
    </row>
    <row r="20" spans="1:9" s="15" customFormat="1" ht="105.75" customHeight="1" x14ac:dyDescent="0.25">
      <c r="A20" s="155">
        <f t="shared" si="2"/>
        <v>8</v>
      </c>
      <c r="B20" s="135" t="s">
        <v>68</v>
      </c>
      <c r="C20" s="117" t="s">
        <v>69</v>
      </c>
      <c r="D20" s="117" t="str">
        <f>hitung_F3!G54</f>
        <v>Keberadaan dan efektivitas unit pelaksana penjaminan mutu: …</v>
      </c>
      <c r="E20" s="248">
        <f t="shared" si="0"/>
        <v>3.333333333333333</v>
      </c>
      <c r="F20" s="119">
        <f>hitung_F3!E60</f>
        <v>4</v>
      </c>
      <c r="G20" s="30"/>
      <c r="H20" s="330">
        <v>3.333333333333333</v>
      </c>
      <c r="I20" s="331">
        <f t="shared" si="1"/>
        <v>13.333333333333332</v>
      </c>
    </row>
    <row r="21" spans="1:9" s="15" customFormat="1" ht="87" customHeight="1" x14ac:dyDescent="0.25">
      <c r="A21" s="155">
        <f t="shared" si="2"/>
        <v>9</v>
      </c>
      <c r="B21" s="135" t="s">
        <v>70</v>
      </c>
      <c r="C21" s="117" t="s">
        <v>171</v>
      </c>
      <c r="D21" s="117" t="str">
        <f>hitung_F3!G62</f>
        <v>Memiliki standar mutu: …</v>
      </c>
      <c r="E21" s="248">
        <f t="shared" si="0"/>
        <v>1.6666666666666665</v>
      </c>
      <c r="F21" s="119">
        <f>hitung_F3!E68</f>
        <v>4</v>
      </c>
      <c r="G21" s="30"/>
      <c r="H21" s="330">
        <v>1.6666666666666665</v>
      </c>
      <c r="I21" s="331">
        <f t="shared" si="1"/>
        <v>6.6666666666666661</v>
      </c>
    </row>
    <row r="22" spans="1:9" s="15" customFormat="1" ht="105" customHeight="1" x14ac:dyDescent="0.25">
      <c r="A22" s="155">
        <f t="shared" si="2"/>
        <v>10</v>
      </c>
      <c r="B22" s="135" t="s">
        <v>72</v>
      </c>
      <c r="C22" s="117" t="s">
        <v>172</v>
      </c>
      <c r="D22" s="117" t="str">
        <f>hitung_F3!G70</f>
        <v>Sistem penerimaan  mahasiswa baru  dan konsistensi pelaksanaannya: …</v>
      </c>
      <c r="E22" s="248">
        <f t="shared" si="0"/>
        <v>3.3670033670033668</v>
      </c>
      <c r="F22" s="119">
        <f>hitung_F3!E76</f>
        <v>4</v>
      </c>
      <c r="G22" s="30"/>
      <c r="H22" s="330">
        <v>3.3670033670033668</v>
      </c>
      <c r="I22" s="331">
        <f t="shared" si="1"/>
        <v>13.468013468013467</v>
      </c>
    </row>
    <row r="23" spans="1:9" s="15" customFormat="1" ht="60" customHeight="1" x14ac:dyDescent="0.25">
      <c r="A23" s="155">
        <f t="shared" si="2"/>
        <v>11</v>
      </c>
      <c r="B23" s="135" t="s">
        <v>9</v>
      </c>
      <c r="C23" s="135" t="s">
        <v>173</v>
      </c>
      <c r="D23" s="117" t="str">
        <f>hitung_F3!G78&amp;" "&amp;hitung_F3!G79</f>
        <v xml:space="preserve">Rasio total mahasiswa baru transfer terhadap total mahasiswa baru keseluruhan = 7/100 = 0.07. </v>
      </c>
      <c r="E23" s="248">
        <f t="shared" si="0"/>
        <v>0.33670033670033672</v>
      </c>
      <c r="F23" s="119">
        <f>hitung_F3!E82</f>
        <v>4</v>
      </c>
      <c r="G23" s="30"/>
      <c r="H23" s="330">
        <v>0.33670033670033672</v>
      </c>
      <c r="I23" s="331">
        <f t="shared" si="1"/>
        <v>1.3468013468013469</v>
      </c>
    </row>
    <row r="24" spans="1:9" s="15" customFormat="1" ht="195" customHeight="1" x14ac:dyDescent="0.25">
      <c r="A24" s="155">
        <f>A23+1</f>
        <v>12</v>
      </c>
      <c r="B24" s="135" t="s">
        <v>10</v>
      </c>
      <c r="C24" s="135" t="s">
        <v>174</v>
      </c>
      <c r="D24" s="117" t="str">
        <f>hitung_F3!G84</f>
        <v>Motivasi penerimaan mahasiswa transfer dan mahasiswa program internasional: …</v>
      </c>
      <c r="E24" s="248">
        <f t="shared" si="0"/>
        <v>0.67340067340067344</v>
      </c>
      <c r="F24" s="119">
        <f>hitung_F3!E89</f>
        <v>4</v>
      </c>
      <c r="G24" s="30"/>
      <c r="H24" s="330">
        <v>0.67340067340067344</v>
      </c>
      <c r="I24" s="331">
        <f t="shared" si="1"/>
        <v>2.6936026936026938</v>
      </c>
    </row>
    <row r="25" spans="1:9" s="15" customFormat="1" ht="66" customHeight="1" x14ac:dyDescent="0.25">
      <c r="A25" s="155">
        <f>A24+1</f>
        <v>13</v>
      </c>
      <c r="B25" s="135">
        <v>3.2</v>
      </c>
      <c r="C25" s="135" t="s">
        <v>220</v>
      </c>
      <c r="D25" s="117" t="str">
        <f>hitung_F3!G91&amp;" "&amp;hitung_F3!G92</f>
        <v xml:space="preserve">Rata-rata persentase kelulusan tepat waktu = 50.00%. Rata-rata persentase lulusan dengan IPK ≥ 3.0 = 30.00%. </v>
      </c>
      <c r="E25" s="248">
        <f t="shared" si="0"/>
        <v>3.3670033670033668</v>
      </c>
      <c r="F25" s="119">
        <f>hitung_F3!E97</f>
        <v>3.1</v>
      </c>
      <c r="G25" s="30"/>
      <c r="H25" s="330">
        <v>3.3670033670033668</v>
      </c>
      <c r="I25" s="331">
        <f t="shared" si="1"/>
        <v>10.437710437710438</v>
      </c>
    </row>
    <row r="26" spans="1:9" s="15" customFormat="1" ht="108.75" customHeight="1" x14ac:dyDescent="0.25">
      <c r="A26" s="155">
        <f t="shared" si="2"/>
        <v>14</v>
      </c>
      <c r="B26" s="135">
        <v>3.3</v>
      </c>
      <c r="C26" s="135" t="s">
        <v>73</v>
      </c>
      <c r="D26" s="117" t="str">
        <f>hitung_F3!G99</f>
        <v>Upaya pengembangan dan peningkatan mutu lulusan:…</v>
      </c>
      <c r="E26" s="248">
        <f t="shared" si="0"/>
        <v>3.3670033670033668</v>
      </c>
      <c r="F26" s="119">
        <f>hitung_F3!E105</f>
        <v>4</v>
      </c>
      <c r="G26" s="30"/>
      <c r="H26" s="330">
        <v>3.3670033670033668</v>
      </c>
      <c r="I26" s="331">
        <f t="shared" si="1"/>
        <v>13.468013468013467</v>
      </c>
    </row>
    <row r="27" spans="1:9" s="15" customFormat="1" ht="56.25" customHeight="1" x14ac:dyDescent="0.25">
      <c r="A27" s="195">
        <f t="shared" si="2"/>
        <v>15</v>
      </c>
      <c r="B27" s="136" t="s">
        <v>175</v>
      </c>
      <c r="C27" s="136" t="s">
        <v>309</v>
      </c>
      <c r="D27" s="196" t="str">
        <f>hitung_F3!G107&amp;" "&amp;hitung_F3!G108</f>
        <v xml:space="preserve">Persentase dosen tetap berpendidikan minimal S-3/Sp. = (25/40) x 100% = 62.50%. </v>
      </c>
      <c r="E27" s="248">
        <f t="shared" si="0"/>
        <v>5.2287581699346406</v>
      </c>
      <c r="F27" s="119">
        <f>hitung_F3!E111</f>
        <v>4</v>
      </c>
      <c r="G27" s="30"/>
      <c r="H27" s="330">
        <v>5.2287581699346406</v>
      </c>
      <c r="I27" s="331">
        <f t="shared" si="1"/>
        <v>20.915032679738562</v>
      </c>
    </row>
    <row r="28" spans="1:9" s="15" customFormat="1" ht="55.5" customHeight="1" x14ac:dyDescent="0.25">
      <c r="A28" s="155">
        <f t="shared" si="2"/>
        <v>16</v>
      </c>
      <c r="B28" s="135" t="s">
        <v>176</v>
      </c>
      <c r="C28" s="135" t="s">
        <v>177</v>
      </c>
      <c r="D28" s="117" t="str">
        <f>hitung_F3!G113&amp;" "&amp;hitung_F3!G114</f>
        <v xml:space="preserve">Persentase dosen tetap yang memiliki jabatan minimal lektor kepala = (15/40) x 100% = 37.50%. </v>
      </c>
      <c r="E28" s="248">
        <f t="shared" si="0"/>
        <v>2.6143790849673203</v>
      </c>
      <c r="F28" s="119">
        <f>hitung_F3!E117</f>
        <v>4</v>
      </c>
      <c r="G28" s="30"/>
      <c r="H28" s="330">
        <v>2.6143790849673203</v>
      </c>
      <c r="I28" s="331">
        <f t="shared" si="1"/>
        <v>10.457516339869281</v>
      </c>
    </row>
    <row r="29" spans="1:9" s="15" customFormat="1" ht="49.5" customHeight="1" x14ac:dyDescent="0.25">
      <c r="A29" s="155">
        <f t="shared" si="2"/>
        <v>17</v>
      </c>
      <c r="B29" s="135" t="s">
        <v>178</v>
      </c>
      <c r="C29" s="135" t="s">
        <v>179</v>
      </c>
      <c r="D29" s="117" t="str">
        <f>hitung_F3!G119&amp;" "&amp;hitung_F3!G120</f>
        <v xml:space="preserve">Persentase dosen tetap yang memiliki jabatan guru besar = (10/40) x 100% = 25.00%. </v>
      </c>
      <c r="E29" s="248">
        <f t="shared" si="0"/>
        <v>2.6143790849673203</v>
      </c>
      <c r="F29" s="119">
        <f>hitung_F3!E123</f>
        <v>4</v>
      </c>
      <c r="G29" s="30"/>
      <c r="H29" s="330">
        <v>2.6143790849673203</v>
      </c>
      <c r="I29" s="331">
        <f t="shared" si="1"/>
        <v>10.457516339869281</v>
      </c>
    </row>
    <row r="30" spans="1:9" s="15" customFormat="1" ht="110.25" customHeight="1" x14ac:dyDescent="0.25">
      <c r="A30" s="155">
        <f t="shared" si="2"/>
        <v>18</v>
      </c>
      <c r="B30" s="135" t="s">
        <v>180</v>
      </c>
      <c r="C30" s="135" t="s">
        <v>74</v>
      </c>
      <c r="D30" s="117" t="str">
        <f>hitung_F3!G125</f>
        <v>Upaya pengembangan dan peningkatan mutu dosen tetap: …</v>
      </c>
      <c r="E30" s="248">
        <f t="shared" si="0"/>
        <v>2.6143790849673203</v>
      </c>
      <c r="F30" s="119">
        <f>hitung_F3!E130</f>
        <v>4</v>
      </c>
      <c r="G30" s="30"/>
      <c r="H30" s="330">
        <v>2.6143790849673203</v>
      </c>
      <c r="I30" s="331">
        <f t="shared" si="1"/>
        <v>10.457516339869281</v>
      </c>
    </row>
    <row r="31" spans="1:9" s="15" customFormat="1" ht="86.25" customHeight="1" x14ac:dyDescent="0.25">
      <c r="A31" s="155">
        <f t="shared" si="2"/>
        <v>19</v>
      </c>
      <c r="B31" s="135" t="s">
        <v>181</v>
      </c>
      <c r="C31" s="135" t="s">
        <v>75</v>
      </c>
      <c r="D31" s="117" t="str">
        <f>hitung_F3!G132</f>
        <v>Dosen yang tugas belajar: …</v>
      </c>
      <c r="E31" s="248">
        <f t="shared" si="0"/>
        <v>2.6143790849673203</v>
      </c>
      <c r="F31" s="119">
        <f>hitung_F3!E138</f>
        <v>4</v>
      </c>
      <c r="G31" s="30"/>
      <c r="H31" s="330">
        <v>2.6143790849673203</v>
      </c>
      <c r="I31" s="331">
        <f t="shared" si="1"/>
        <v>10.457516339869281</v>
      </c>
    </row>
    <row r="32" spans="1:9" s="15" customFormat="1" ht="86.25" customHeight="1" x14ac:dyDescent="0.25">
      <c r="A32" s="155">
        <f t="shared" si="2"/>
        <v>20</v>
      </c>
      <c r="B32" s="135" t="s">
        <v>182</v>
      </c>
      <c r="C32" s="135" t="s">
        <v>183</v>
      </c>
      <c r="D32" s="117" t="str">
        <f>hitung_F3!G140</f>
        <v>Dosen yang memperoleh gelar tambahan: …</v>
      </c>
      <c r="E32" s="248">
        <f t="shared" si="0"/>
        <v>1.3071895424836601</v>
      </c>
      <c r="F32" s="119">
        <f>hitung_F3!E146</f>
        <v>4</v>
      </c>
      <c r="G32" s="30"/>
      <c r="H32" s="330">
        <v>1.3071895424836601</v>
      </c>
      <c r="I32" s="331">
        <f t="shared" si="1"/>
        <v>5.2287581699346406</v>
      </c>
    </row>
    <row r="33" spans="1:9" s="15" customFormat="1" ht="108" customHeight="1" x14ac:dyDescent="0.25">
      <c r="A33" s="155">
        <f t="shared" si="2"/>
        <v>21</v>
      </c>
      <c r="B33" s="135" t="s">
        <v>76</v>
      </c>
      <c r="C33" s="135" t="s">
        <v>77</v>
      </c>
      <c r="D33" s="117" t="str">
        <f>hitung_F3!G148</f>
        <v>Upaya fakultas dalam mengembangkan tenaga dosen tetap: …</v>
      </c>
      <c r="E33" s="248">
        <f t="shared" si="0"/>
        <v>2.6143790849673203</v>
      </c>
      <c r="F33" s="119">
        <f>hitung_F3!E154</f>
        <v>4</v>
      </c>
      <c r="G33" s="30"/>
      <c r="H33" s="330">
        <v>2.6143790849673203</v>
      </c>
      <c r="I33" s="331">
        <f t="shared" si="1"/>
        <v>10.457516339869281</v>
      </c>
    </row>
    <row r="34" spans="1:9" s="15" customFormat="1" ht="97.5" customHeight="1" x14ac:dyDescent="0.25">
      <c r="A34" s="155">
        <f t="shared" si="2"/>
        <v>22</v>
      </c>
      <c r="B34" s="135">
        <v>4.2</v>
      </c>
      <c r="C34" s="135" t="s">
        <v>78</v>
      </c>
      <c r="D34" s="117" t="str">
        <f>hitung_F3!G156</f>
        <v>Kecukupan dan kualifikasi tenaga kependidikan: …</v>
      </c>
      <c r="E34" s="248">
        <f t="shared" si="0"/>
        <v>2.6143790849673203</v>
      </c>
      <c r="F34" s="119">
        <f>hitung_F3!E161</f>
        <v>4</v>
      </c>
      <c r="G34" s="30"/>
      <c r="H34" s="330">
        <v>2.6143790849673203</v>
      </c>
      <c r="I34" s="331">
        <f t="shared" si="1"/>
        <v>10.457516339869281</v>
      </c>
    </row>
    <row r="35" spans="1:9" s="15" customFormat="1" ht="106.5" customHeight="1" x14ac:dyDescent="0.25">
      <c r="A35" s="155">
        <f t="shared" si="2"/>
        <v>23</v>
      </c>
      <c r="B35" s="135">
        <v>5.0999999999999996</v>
      </c>
      <c r="C35" s="117" t="s">
        <v>184</v>
      </c>
      <c r="D35" s="117" t="str">
        <f>hitung_F3!G163</f>
        <v>Bentuk dukungan Fakultas dalam penyusunan, implementasi, dan pengembangan kurikulum: …</v>
      </c>
      <c r="E35" s="248">
        <f t="shared" si="0"/>
        <v>1.8518518518518516</v>
      </c>
      <c r="F35" s="119">
        <f>hitung_F3!E169</f>
        <v>4</v>
      </c>
      <c r="G35" s="30"/>
      <c r="H35" s="330">
        <v>1.8518518518518516</v>
      </c>
      <c r="I35" s="331">
        <f t="shared" si="1"/>
        <v>7.4074074074074066</v>
      </c>
    </row>
    <row r="36" spans="1:9" s="15" customFormat="1" ht="79.5" customHeight="1" x14ac:dyDescent="0.25">
      <c r="A36" s="155">
        <f t="shared" si="2"/>
        <v>24</v>
      </c>
      <c r="B36" s="131">
        <v>5.2</v>
      </c>
      <c r="C36" s="117" t="s">
        <v>185</v>
      </c>
      <c r="D36" s="117" t="str">
        <f>hitung_F3!G171</f>
        <v>Mekanisme monitoring dan evaluasi oleh fakultas dan pemanfaatan hasilnya: …</v>
      </c>
      <c r="E36" s="248">
        <f t="shared" si="0"/>
        <v>1.8518518518518516</v>
      </c>
      <c r="F36" s="119">
        <f>hitung_F3!E177</f>
        <v>4</v>
      </c>
      <c r="G36" s="30"/>
      <c r="H36" s="330">
        <v>1.8518518518518516</v>
      </c>
      <c r="I36" s="331">
        <f t="shared" si="1"/>
        <v>7.4074074074074066</v>
      </c>
    </row>
    <row r="37" spans="1:9" s="15" customFormat="1" ht="191.25" x14ac:dyDescent="0.25">
      <c r="A37" s="155">
        <f t="shared" si="2"/>
        <v>25</v>
      </c>
      <c r="B37" s="136">
        <v>5.3</v>
      </c>
      <c r="C37" s="117" t="s">
        <v>186</v>
      </c>
      <c r="D37" s="117" t="str">
        <f>hitung_F3!G179</f>
        <v>Bentuk dukungan Fakultas dalam penciptaan suasana akademik yang kondusif: …</v>
      </c>
      <c r="E37" s="248">
        <f t="shared" si="0"/>
        <v>1.8518518518518516</v>
      </c>
      <c r="F37" s="119">
        <f>hitung_F3!E185</f>
        <v>4</v>
      </c>
      <c r="G37" s="30"/>
      <c r="H37" s="330">
        <v>1.8518518518518516</v>
      </c>
      <c r="I37" s="331">
        <f t="shared" si="1"/>
        <v>7.4074074074074066</v>
      </c>
    </row>
    <row r="38" spans="1:9" s="15" customFormat="1" ht="105" customHeight="1" x14ac:dyDescent="0.25">
      <c r="A38" s="155">
        <f t="shared" si="2"/>
        <v>26</v>
      </c>
      <c r="B38" s="130" t="s">
        <v>187</v>
      </c>
      <c r="C38" s="117" t="s">
        <v>188</v>
      </c>
      <c r="D38" s="117" t="str">
        <f>hitung_F3!G187&amp;" "&amp;hitung_F3!G188</f>
        <v xml:space="preserve">Total dana yang diperoleh dari mahasiswa dalam tiga tahun terakhir = Rp 30 juta. Total penerimaan dana dari berbagai sumber dalam tiga tahun terakhir = Rp 100 juta. Persentase dana fakultas yang berasal dari mahasiswa = 30.00%. </v>
      </c>
      <c r="E38" s="248">
        <f t="shared" si="0"/>
        <v>1.4814814814814814</v>
      </c>
      <c r="F38" s="119">
        <f>hitung_F3!E191</f>
        <v>4</v>
      </c>
      <c r="G38" s="30"/>
      <c r="H38" s="330">
        <v>1.4814814814814814</v>
      </c>
      <c r="I38" s="331">
        <f t="shared" si="1"/>
        <v>5.9259259259259256</v>
      </c>
    </row>
    <row r="39" spans="1:9" s="15" customFormat="1" ht="99.75" customHeight="1" x14ac:dyDescent="0.25">
      <c r="A39" s="155">
        <f t="shared" si="2"/>
        <v>27</v>
      </c>
      <c r="B39" s="130" t="s">
        <v>189</v>
      </c>
      <c r="C39" s="135" t="s">
        <v>190</v>
      </c>
      <c r="D39" s="117" t="str">
        <f>hitung_F3!G193</f>
        <v>Kecukupan dana yang diperoleh Fakultas: …</v>
      </c>
      <c r="E39" s="248">
        <f t="shared" si="0"/>
        <v>1.4814814814814814</v>
      </c>
      <c r="F39" s="119">
        <f>hitung_F3!E199</f>
        <v>4</v>
      </c>
      <c r="G39" s="30"/>
      <c r="H39" s="330">
        <v>1.4814814814814814</v>
      </c>
      <c r="I39" s="331">
        <f t="shared" si="1"/>
        <v>5.9259259259259256</v>
      </c>
    </row>
    <row r="40" spans="1:9" s="15" customFormat="1" ht="109.5" customHeight="1" x14ac:dyDescent="0.25">
      <c r="A40" s="155">
        <f t="shared" si="2"/>
        <v>28</v>
      </c>
      <c r="B40" s="130" t="s">
        <v>191</v>
      </c>
      <c r="C40" s="117" t="s">
        <v>192</v>
      </c>
      <c r="D40" s="117" t="str">
        <f>hitung_F3!G201</f>
        <v>Upaya pengembangan dana oleh Fakultas: …</v>
      </c>
      <c r="E40" s="248">
        <f t="shared" si="0"/>
        <v>1.4814814814814814</v>
      </c>
      <c r="F40" s="119">
        <f>hitung_F3!E207</f>
        <v>4</v>
      </c>
      <c r="G40" s="30"/>
      <c r="H40" s="330">
        <v>1.4814814814814814</v>
      </c>
      <c r="I40" s="331">
        <f t="shared" si="1"/>
        <v>5.9259259259259256</v>
      </c>
    </row>
    <row r="41" spans="1:9" s="15" customFormat="1" ht="137.25" customHeight="1" x14ac:dyDescent="0.25">
      <c r="A41" s="155">
        <f t="shared" si="2"/>
        <v>29</v>
      </c>
      <c r="B41" s="134" t="s">
        <v>20</v>
      </c>
      <c r="C41" s="135" t="s">
        <v>79</v>
      </c>
      <c r="D41" s="117" t="str">
        <f>hitung_F3!G209</f>
        <v>Investasi untuk pengadaan sarana dalam tiga tahun terakhir dibandingkan dengan kebutuhan saat ini: …</v>
      </c>
      <c r="E41" s="248">
        <f t="shared" si="0"/>
        <v>2.9629629629629628</v>
      </c>
      <c r="F41" s="119">
        <f>hitung_F3!E215</f>
        <v>4</v>
      </c>
      <c r="G41" s="30"/>
      <c r="H41" s="330">
        <v>2.9629629629629628</v>
      </c>
      <c r="I41" s="331">
        <f t="shared" si="1"/>
        <v>11.851851851851851</v>
      </c>
    </row>
    <row r="42" spans="1:9" s="15" customFormat="1" ht="110.25" customHeight="1" x14ac:dyDescent="0.25">
      <c r="A42" s="155">
        <f t="shared" si="2"/>
        <v>30</v>
      </c>
      <c r="B42" s="134" t="s">
        <v>21</v>
      </c>
      <c r="C42" s="135" t="s">
        <v>193</v>
      </c>
      <c r="D42" s="117" t="str">
        <f>hitung_F3!G217</f>
        <v>Rencana investasi untuk pengadaan sarana dalam lima tahun ke depan: …</v>
      </c>
      <c r="E42" s="248">
        <f t="shared" si="0"/>
        <v>1.4814814814814814</v>
      </c>
      <c r="F42" s="119">
        <f>hitung_F3!E223</f>
        <v>4</v>
      </c>
      <c r="G42" s="30"/>
      <c r="H42" s="330">
        <v>1.4814814814814814</v>
      </c>
      <c r="I42" s="331">
        <f t="shared" si="1"/>
        <v>5.9259259259259256</v>
      </c>
    </row>
    <row r="43" spans="1:9" s="15" customFormat="1" ht="107.25" customHeight="1" x14ac:dyDescent="0.25">
      <c r="A43" s="155">
        <f t="shared" si="2"/>
        <v>31</v>
      </c>
      <c r="B43" s="134" t="s">
        <v>22</v>
      </c>
      <c r="C43" s="117" t="s">
        <v>194</v>
      </c>
      <c r="D43" s="117" t="str">
        <f>hitung_F3!G225</f>
        <v>Mutu, kecukupan, akses prasarana yang dikelola Fakultas untuk PS: …</v>
      </c>
      <c r="E43" s="248">
        <f t="shared" si="0"/>
        <v>2.9629629629629628</v>
      </c>
      <c r="F43" s="119">
        <f>hitung_F3!E231</f>
        <v>4</v>
      </c>
      <c r="G43" s="30"/>
      <c r="H43" s="330">
        <v>2.9629629629629628</v>
      </c>
      <c r="I43" s="331">
        <f t="shared" si="1"/>
        <v>11.851851851851851</v>
      </c>
    </row>
    <row r="44" spans="1:9" s="15" customFormat="1" ht="107.25" customHeight="1" x14ac:dyDescent="0.25">
      <c r="A44" s="155">
        <f t="shared" si="2"/>
        <v>32</v>
      </c>
      <c r="B44" s="134" t="s">
        <v>23</v>
      </c>
      <c r="C44" s="135" t="s">
        <v>195</v>
      </c>
      <c r="D44" s="117" t="str">
        <f>hitung_F3!G233</f>
        <v>Rencana pengembangan prasarana oleh Fakultas untuk PS: …</v>
      </c>
      <c r="E44" s="248">
        <f t="shared" si="0"/>
        <v>1.4814814814814814</v>
      </c>
      <c r="F44" s="119">
        <f>hitung_F3!E239</f>
        <v>4</v>
      </c>
      <c r="G44" s="30"/>
      <c r="H44" s="330">
        <v>1.4814814814814814</v>
      </c>
      <c r="I44" s="331">
        <f t="shared" si="1"/>
        <v>5.9259259259259256</v>
      </c>
    </row>
    <row r="45" spans="1:9" s="15" customFormat="1" ht="111" customHeight="1" x14ac:dyDescent="0.25">
      <c r="A45" s="155">
        <f t="shared" si="2"/>
        <v>33</v>
      </c>
      <c r="B45" s="134" t="s">
        <v>196</v>
      </c>
      <c r="C45" s="117" t="s">
        <v>197</v>
      </c>
      <c r="D45" s="117" t="str">
        <f>hitung_F3!G241</f>
        <v>Sistem informasi dan fasilitas yang digunakan Fakultas/Sekolah Tinggi dalam proses pembelajaran: …</v>
      </c>
      <c r="E45" s="248">
        <f t="shared" si="0"/>
        <v>2.2222222222222223</v>
      </c>
      <c r="F45" s="119">
        <f>hitung_F3!E246</f>
        <v>4</v>
      </c>
      <c r="G45" s="30"/>
      <c r="H45" s="330">
        <v>2.2222222222222223</v>
      </c>
      <c r="I45" s="331">
        <f t="shared" si="1"/>
        <v>8.8888888888888893</v>
      </c>
    </row>
    <row r="46" spans="1:9" s="15" customFormat="1" ht="107.25" customHeight="1" x14ac:dyDescent="0.25">
      <c r="A46" s="155">
        <f t="shared" si="2"/>
        <v>34</v>
      </c>
      <c r="B46" s="134" t="s">
        <v>198</v>
      </c>
      <c r="C46" s="117" t="s">
        <v>199</v>
      </c>
      <c r="D46" s="117" t="str">
        <f>hitung_F3!G248</f>
        <v>Sistem informasi dan fasilitas yang digunakan Fakultas dalam administrasi: …</v>
      </c>
      <c r="E46" s="248">
        <f t="shared" si="0"/>
        <v>2.2222222222222223</v>
      </c>
      <c r="F46" s="119">
        <f>hitung_F3!E253</f>
        <v>4</v>
      </c>
      <c r="G46" s="30"/>
      <c r="H46" s="330">
        <v>2.2222222222222223</v>
      </c>
      <c r="I46" s="331">
        <f t="shared" si="1"/>
        <v>8.8888888888888893</v>
      </c>
    </row>
    <row r="47" spans="1:9" s="15" customFormat="1" ht="147.75" customHeight="1" x14ac:dyDescent="0.25">
      <c r="A47" s="155">
        <f t="shared" si="2"/>
        <v>35</v>
      </c>
      <c r="B47" s="134" t="s">
        <v>24</v>
      </c>
      <c r="C47" s="135" t="s">
        <v>26</v>
      </c>
      <c r="D47" s="117" t="str">
        <f>hitung_F3!G255&amp;" "&amp;hitung_F3!G256</f>
        <v xml:space="preserve">Aksesibilitas data dalam sistem informasi. Ada 12 jenis data. Data yang dikelola dengan komputer yang terhubung jaringan luas (WAN) = 12 jenis. </v>
      </c>
      <c r="E47" s="248">
        <f t="shared" si="0"/>
        <v>1.4814814814814814</v>
      </c>
      <c r="F47" s="119">
        <f>hitung_F3!E261</f>
        <v>4</v>
      </c>
      <c r="G47" s="30"/>
      <c r="H47" s="330">
        <v>1.4814814814814814</v>
      </c>
      <c r="I47" s="331">
        <f t="shared" si="1"/>
        <v>5.9259259259259256</v>
      </c>
    </row>
    <row r="48" spans="1:9" s="15" customFormat="1" ht="113.25" customHeight="1" x14ac:dyDescent="0.25">
      <c r="A48" s="155">
        <f t="shared" si="2"/>
        <v>36</v>
      </c>
      <c r="B48" s="134" t="s">
        <v>25</v>
      </c>
      <c r="C48" s="135" t="s">
        <v>200</v>
      </c>
      <c r="D48" s="117" t="str">
        <f>hitung_F3!G264</f>
        <v>Media/cara penyebaran informasi untuk sivitas akademika di Fakultas: …</v>
      </c>
      <c r="E48" s="248">
        <f t="shared" si="0"/>
        <v>1.4814814814814814</v>
      </c>
      <c r="F48" s="119">
        <f>hitung_F3!E270</f>
        <v>4</v>
      </c>
      <c r="G48" s="30"/>
      <c r="H48" s="330">
        <v>1.4814814814814814</v>
      </c>
      <c r="I48" s="331">
        <f t="shared" si="1"/>
        <v>5.9259259259259256</v>
      </c>
    </row>
    <row r="49" spans="1:9" s="15" customFormat="1" ht="111.75" customHeight="1" x14ac:dyDescent="0.25">
      <c r="A49" s="155">
        <f t="shared" si="2"/>
        <v>37</v>
      </c>
      <c r="B49" s="134" t="s">
        <v>81</v>
      </c>
      <c r="C49" s="135" t="s">
        <v>201</v>
      </c>
      <c r="D49" s="117" t="str">
        <f>hitung_F3!G272</f>
        <v>Rencana strategis pengembangan sistem informasi jangka panjang: …</v>
      </c>
      <c r="E49" s="248">
        <f t="shared" si="0"/>
        <v>1.4814814814814814</v>
      </c>
      <c r="F49" s="119">
        <f>hitung_F3!E278</f>
        <v>4</v>
      </c>
      <c r="G49" s="30"/>
      <c r="H49" s="330">
        <v>1.4814814814814814</v>
      </c>
      <c r="I49" s="331">
        <f t="shared" si="1"/>
        <v>5.9259259259259256</v>
      </c>
    </row>
    <row r="50" spans="1:9" s="15" customFormat="1" ht="125.25" customHeight="1" x14ac:dyDescent="0.25">
      <c r="A50" s="155">
        <f t="shared" si="2"/>
        <v>38</v>
      </c>
      <c r="B50" s="135" t="s">
        <v>202</v>
      </c>
      <c r="C50" s="117" t="s">
        <v>82</v>
      </c>
      <c r="D50" s="117" t="str">
        <f>hitung_F3!G280</f>
        <v>Jumlah dan mutu kegiatan penelitian, dibandingkan dengan banyaknya dosen: …</v>
      </c>
      <c r="E50" s="248">
        <f t="shared" si="0"/>
        <v>1.8518518518518514</v>
      </c>
      <c r="F50" s="119">
        <f>hitung_F3!E282</f>
        <v>4</v>
      </c>
      <c r="G50" s="30"/>
      <c r="H50" s="330">
        <v>1.8518518518518514</v>
      </c>
      <c r="I50" s="331">
        <f t="shared" si="1"/>
        <v>7.4074074074074057</v>
      </c>
    </row>
    <row r="51" spans="1:9" s="15" customFormat="1" ht="101.25" customHeight="1" x14ac:dyDescent="0.25">
      <c r="A51" s="155">
        <f t="shared" si="2"/>
        <v>39</v>
      </c>
      <c r="B51" s="135" t="s">
        <v>203</v>
      </c>
      <c r="C51" s="135" t="s">
        <v>83</v>
      </c>
      <c r="D51" s="117" t="str">
        <f>hitung_F3!G284</f>
        <v>Besar dana penelitian per dosen tetap per tahun: …</v>
      </c>
      <c r="E51" s="248">
        <f t="shared" si="0"/>
        <v>1.8518518518518514</v>
      </c>
      <c r="F51" s="119">
        <f>hitung_F3!E286</f>
        <v>4</v>
      </c>
      <c r="G51" s="30"/>
      <c r="H51" s="330">
        <v>1.8518518518518514</v>
      </c>
      <c r="I51" s="331">
        <f t="shared" si="1"/>
        <v>7.4074074074074057</v>
      </c>
    </row>
    <row r="52" spans="1:9" s="15" customFormat="1" ht="73.5" customHeight="1" x14ac:dyDescent="0.25">
      <c r="A52" s="155">
        <f t="shared" si="2"/>
        <v>40</v>
      </c>
      <c r="B52" s="135" t="s">
        <v>27</v>
      </c>
      <c r="C52" s="135" t="s">
        <v>204</v>
      </c>
      <c r="D52" s="117" t="str">
        <f>hitung_F3!G289</f>
        <v>Upaya pengembangan kegiatan penelitian oleh pihak Fakultas: …</v>
      </c>
      <c r="E52" s="248">
        <f t="shared" si="0"/>
        <v>1.8518518518518514</v>
      </c>
      <c r="F52" s="119">
        <f>hitung_F3!E295</f>
        <v>4</v>
      </c>
      <c r="G52" s="30"/>
      <c r="H52" s="330">
        <v>1.8518518518518514</v>
      </c>
      <c r="I52" s="331">
        <f t="shared" si="1"/>
        <v>7.4074074074074057</v>
      </c>
    </row>
    <row r="53" spans="1:9" s="15" customFormat="1" ht="120" customHeight="1" x14ac:dyDescent="0.25">
      <c r="A53" s="155">
        <f t="shared" si="2"/>
        <v>41</v>
      </c>
      <c r="B53" s="135" t="s">
        <v>205</v>
      </c>
      <c r="C53" s="135" t="s">
        <v>144</v>
      </c>
      <c r="D53" s="117" t="str">
        <f>hitung_F3!G297</f>
        <v>Jumlah dan mutu kegiatan PkM, dibandingkan dengan banyaknya dosen: …</v>
      </c>
      <c r="E53" s="248">
        <f t="shared" si="0"/>
        <v>1.8518518518518514</v>
      </c>
      <c r="F53" s="119">
        <f>hitung_F3!E299</f>
        <v>4</v>
      </c>
      <c r="G53" s="30"/>
      <c r="H53" s="330">
        <v>1.8518518518518514</v>
      </c>
      <c r="I53" s="331">
        <f t="shared" si="1"/>
        <v>7.4074074074074057</v>
      </c>
    </row>
    <row r="54" spans="1:9" s="15" customFormat="1" ht="96.75" customHeight="1" x14ac:dyDescent="0.25">
      <c r="A54" s="155">
        <f t="shared" si="2"/>
        <v>42</v>
      </c>
      <c r="B54" s="135" t="s">
        <v>206</v>
      </c>
      <c r="C54" s="135" t="s">
        <v>84</v>
      </c>
      <c r="D54" s="117" t="str">
        <f>hitung_F3!G301</f>
        <v>Besar dana PkM per dosen tetap per tahun: …</v>
      </c>
      <c r="E54" s="248">
        <f t="shared" si="0"/>
        <v>1.8518518518518514</v>
      </c>
      <c r="F54" s="119">
        <f>hitung_F3!E303</f>
        <v>4</v>
      </c>
      <c r="G54" s="30"/>
      <c r="H54" s="330">
        <v>1.8518518518518514</v>
      </c>
      <c r="I54" s="331">
        <f t="shared" si="1"/>
        <v>7.4074074074074057</v>
      </c>
    </row>
    <row r="55" spans="1:9" s="15" customFormat="1" ht="98.25" customHeight="1" x14ac:dyDescent="0.25">
      <c r="A55" s="155">
        <f t="shared" si="2"/>
        <v>43</v>
      </c>
      <c r="B55" s="135" t="s">
        <v>29</v>
      </c>
      <c r="C55" s="135" t="s">
        <v>141</v>
      </c>
      <c r="D55" s="117" t="str">
        <f>hitung_F3!G305</f>
        <v>Upaya pengembangan kegiatan PkM: …</v>
      </c>
      <c r="E55" s="248">
        <f t="shared" si="0"/>
        <v>1.8518518518518514</v>
      </c>
      <c r="F55" s="119">
        <f>hitung_F3!E311</f>
        <v>4</v>
      </c>
      <c r="G55" s="30"/>
      <c r="H55" s="330">
        <v>1.8518518518518514</v>
      </c>
      <c r="I55" s="331">
        <f t="shared" si="1"/>
        <v>7.4074074074074057</v>
      </c>
    </row>
    <row r="56" spans="1:9" s="15" customFormat="1" ht="121.5" customHeight="1" x14ac:dyDescent="0.25">
      <c r="A56" s="155">
        <f t="shared" si="2"/>
        <v>44</v>
      </c>
      <c r="B56" s="135" t="s">
        <v>30</v>
      </c>
      <c r="C56" s="135" t="s">
        <v>207</v>
      </c>
      <c r="D56" s="117" t="str">
        <f>hitung_F3!G313</f>
        <v>Kegiatan kerjasama dengan instansi di dalam negeri dalam tiga tahun terakhir: …</v>
      </c>
      <c r="E56" s="248">
        <f t="shared" si="0"/>
        <v>2.7777777777777772</v>
      </c>
      <c r="F56" s="119">
        <f>hitung_F3!E319</f>
        <v>4</v>
      </c>
      <c r="G56" s="30"/>
      <c r="H56" s="330">
        <v>2.7777777777777772</v>
      </c>
      <c r="I56" s="331">
        <f t="shared" si="1"/>
        <v>11.111111111111109</v>
      </c>
    </row>
    <row r="57" spans="1:9" s="15" customFormat="1" ht="131.25" customHeight="1" thickBot="1" x14ac:dyDescent="0.3">
      <c r="A57" s="158">
        <f t="shared" si="2"/>
        <v>45</v>
      </c>
      <c r="B57" s="138" t="s">
        <v>31</v>
      </c>
      <c r="C57" s="138" t="s">
        <v>208</v>
      </c>
      <c r="D57" s="159" t="str">
        <f>hitung_F3!G321</f>
        <v>Kegiatan kerjasama dengan instansi di luar negeri dalam tiga tahun terakhir: …</v>
      </c>
      <c r="E57" s="251">
        <f t="shared" si="0"/>
        <v>2.7777777777777772</v>
      </c>
      <c r="F57" s="121">
        <f>hitung_F3!E327</f>
        <v>4</v>
      </c>
      <c r="G57" s="30"/>
      <c r="H57" s="332">
        <v>2.7777777777777772</v>
      </c>
      <c r="I57" s="333">
        <f t="shared" si="1"/>
        <v>11.111111111111109</v>
      </c>
    </row>
    <row r="58" spans="1:9" ht="15.75" x14ac:dyDescent="0.25">
      <c r="A58" s="42"/>
      <c r="B58" s="42"/>
      <c r="C58" s="59"/>
      <c r="D58" s="42"/>
      <c r="E58" s="42"/>
      <c r="F58" s="44"/>
      <c r="G58" s="39"/>
      <c r="H58" s="334"/>
      <c r="I58" s="334"/>
    </row>
    <row r="59" spans="1:9" ht="15.75" x14ac:dyDescent="0.25">
      <c r="A59" s="48" t="s">
        <v>32</v>
      </c>
      <c r="B59" s="42"/>
      <c r="C59" s="43"/>
      <c r="D59" s="39"/>
      <c r="E59" s="39"/>
      <c r="F59" s="44"/>
      <c r="G59" s="39"/>
      <c r="H59" s="327">
        <f>SUM(H13:H57)</f>
        <v>99.999999999999972</v>
      </c>
      <c r="I59" s="327">
        <f>SUM(I13:I57)</f>
        <v>396.96969696969688</v>
      </c>
    </row>
    <row r="60" spans="1:9" s="39" customFormat="1" ht="15.75" x14ac:dyDescent="0.25">
      <c r="A60" s="340"/>
      <c r="B60" s="42"/>
      <c r="C60" s="343"/>
      <c r="D60" s="98" t="str">
        <f>'F1'!D91</f>
        <v xml:space="preserve"> Jakarta, …..-……- 2014</v>
      </c>
      <c r="E60" s="98"/>
      <c r="F60" s="44"/>
    </row>
    <row r="61" spans="1:9" s="39" customFormat="1" x14ac:dyDescent="0.25">
      <c r="A61" s="42"/>
      <c r="B61" s="42"/>
      <c r="C61" s="59"/>
      <c r="D61" s="42"/>
      <c r="E61" s="42"/>
      <c r="F61" s="44"/>
    </row>
    <row r="62" spans="1:9" s="39" customFormat="1" ht="15.75" x14ac:dyDescent="0.25">
      <c r="A62" s="340"/>
      <c r="B62" s="42"/>
      <c r="C62" s="343"/>
      <c r="D62" s="335" t="str">
        <f>'F1'!D93:F93</f>
        <v xml:space="preserve">Nama Asesor   : </v>
      </c>
      <c r="E62" s="335"/>
      <c r="F62" s="53"/>
      <c r="G62" s="60"/>
      <c r="H62" s="60"/>
      <c r="I62" s="60"/>
    </row>
    <row r="63" spans="1:9" s="39" customFormat="1" ht="15.75" x14ac:dyDescent="0.25">
      <c r="A63" s="340"/>
      <c r="B63" s="42"/>
      <c r="C63" s="59"/>
      <c r="D63" s="343"/>
      <c r="E63" s="343"/>
      <c r="F63" s="53"/>
      <c r="G63" s="60"/>
      <c r="H63" s="60"/>
      <c r="I63" s="60"/>
    </row>
    <row r="64" spans="1:9" s="39" customFormat="1" x14ac:dyDescent="0.25">
      <c r="A64" s="341"/>
      <c r="B64" s="341"/>
      <c r="C64" s="59"/>
      <c r="D64" s="49" t="str">
        <f>'F1'!D96</f>
        <v>Tanda Tangan :</v>
      </c>
      <c r="E64" s="49"/>
      <c r="F64" s="55"/>
      <c r="G64" s="60"/>
      <c r="H64" s="60"/>
      <c r="I64" s="60"/>
    </row>
    <row r="65" spans="1:9" s="39" customFormat="1" x14ac:dyDescent="0.25">
      <c r="A65" s="341"/>
      <c r="B65" s="341"/>
      <c r="C65" s="59"/>
      <c r="D65" s="42"/>
      <c r="E65" s="42"/>
      <c r="F65" s="55"/>
      <c r="G65" s="60"/>
      <c r="H65" s="60"/>
      <c r="I65" s="60"/>
    </row>
    <row r="66" spans="1:9" s="39" customFormat="1" x14ac:dyDescent="0.25">
      <c r="A66" s="341"/>
      <c r="B66" s="341"/>
      <c r="C66" s="343"/>
      <c r="D66" s="343"/>
      <c r="E66" s="343"/>
      <c r="F66" s="55"/>
      <c r="G66" s="60"/>
      <c r="H66" s="60"/>
      <c r="I66" s="60"/>
    </row>
    <row r="67" spans="1:9" s="39" customFormat="1" x14ac:dyDescent="0.25">
      <c r="A67" s="56"/>
      <c r="B67" s="56"/>
      <c r="C67" s="343"/>
      <c r="D67" s="343"/>
      <c r="E67" s="343"/>
      <c r="F67" s="55"/>
      <c r="G67" s="60"/>
      <c r="H67" s="60"/>
      <c r="I67" s="60"/>
    </row>
    <row r="68" spans="1:9" s="39" customFormat="1" x14ac:dyDescent="0.25">
      <c r="A68" s="56"/>
      <c r="B68" s="56"/>
      <c r="C68" s="59"/>
      <c r="D68" s="42"/>
      <c r="E68" s="42"/>
      <c r="F68" s="53"/>
      <c r="G68" s="60"/>
      <c r="H68" s="60"/>
      <c r="I68" s="60"/>
    </row>
    <row r="69" spans="1:9" s="39" customFormat="1" x14ac:dyDescent="0.25">
      <c r="A69" s="56"/>
      <c r="B69" s="56"/>
      <c r="C69" s="59"/>
      <c r="D69" s="42"/>
      <c r="E69" s="42"/>
      <c r="F69" s="53"/>
      <c r="G69" s="60"/>
      <c r="H69" s="60"/>
      <c r="I69" s="60"/>
    </row>
    <row r="70" spans="1:9" s="39" customFormat="1" x14ac:dyDescent="0.25">
      <c r="A70" s="54"/>
      <c r="B70" s="54"/>
      <c r="C70" s="152"/>
      <c r="D70" s="54"/>
      <c r="E70" s="54"/>
      <c r="F70" s="55"/>
      <c r="G70" s="60"/>
      <c r="H70" s="60"/>
      <c r="I70" s="60"/>
    </row>
    <row r="71" spans="1:9" s="39" customFormat="1" x14ac:dyDescent="0.25">
      <c r="A71" s="54"/>
      <c r="B71" s="54"/>
      <c r="C71" s="59"/>
      <c r="D71" s="49"/>
      <c r="E71" s="49"/>
      <c r="F71" s="55"/>
      <c r="G71" s="60"/>
      <c r="H71" s="60"/>
      <c r="I71" s="60"/>
    </row>
    <row r="72" spans="1:9" s="39" customFormat="1" x14ac:dyDescent="0.25">
      <c r="A72" s="82"/>
      <c r="B72" s="82"/>
      <c r="C72" s="49"/>
      <c r="D72" s="49"/>
      <c r="E72" s="49"/>
      <c r="F72" s="53"/>
      <c r="G72" s="60"/>
      <c r="H72" s="60"/>
      <c r="I72" s="60"/>
    </row>
    <row r="73" spans="1:9" x14ac:dyDescent="0.25">
      <c r="A73" s="10"/>
      <c r="B73" s="10"/>
      <c r="C73" s="25"/>
      <c r="D73" s="25"/>
      <c r="E73" s="25"/>
      <c r="F73" s="14"/>
      <c r="G73" s="8"/>
      <c r="H73" s="31"/>
      <c r="I73" s="31"/>
    </row>
    <row r="74" spans="1:9" x14ac:dyDescent="0.25">
      <c r="A74" s="7"/>
      <c r="B74" s="7"/>
      <c r="C74" s="25"/>
      <c r="D74" s="25"/>
      <c r="E74" s="25"/>
      <c r="F74" s="9"/>
      <c r="G74" s="8"/>
      <c r="H74" s="31"/>
      <c r="I74" s="31"/>
    </row>
    <row r="75" spans="1:9" x14ac:dyDescent="0.25">
      <c r="A75" s="10"/>
      <c r="B75" s="10"/>
      <c r="C75" s="25"/>
      <c r="D75" s="25"/>
      <c r="E75" s="25"/>
      <c r="F75" s="14"/>
      <c r="G75" s="8"/>
      <c r="H75" s="31"/>
      <c r="I75" s="31"/>
    </row>
    <row r="76" spans="1:9" x14ac:dyDescent="0.25">
      <c r="A76" s="10"/>
      <c r="B76" s="10"/>
      <c r="C76" s="25"/>
      <c r="D76" s="25"/>
      <c r="E76" s="25"/>
      <c r="F76" s="14"/>
      <c r="G76" s="8"/>
      <c r="H76" s="31"/>
      <c r="I76" s="31"/>
    </row>
    <row r="77" spans="1:9" x14ac:dyDescent="0.25">
      <c r="A77" s="7"/>
      <c r="B77" s="7"/>
      <c r="C77" s="19"/>
      <c r="D77" s="7"/>
      <c r="E77" s="7"/>
      <c r="F77" s="9"/>
      <c r="G77" s="8"/>
      <c r="H77" s="31"/>
      <c r="I77" s="31"/>
    </row>
    <row r="78" spans="1:9" x14ac:dyDescent="0.25">
      <c r="A78" s="10"/>
      <c r="B78" s="10"/>
      <c r="C78" s="18"/>
      <c r="D78" s="13"/>
      <c r="E78" s="13"/>
      <c r="F78" s="14"/>
      <c r="G78" s="8"/>
      <c r="H78" s="31"/>
      <c r="I78" s="31"/>
    </row>
    <row r="79" spans="1:9" x14ac:dyDescent="0.25">
      <c r="A79" s="10"/>
      <c r="B79" s="10"/>
      <c r="C79" s="18"/>
      <c r="D79" s="13"/>
      <c r="E79" s="13"/>
      <c r="F79" s="14"/>
      <c r="G79" s="8"/>
      <c r="H79" s="31"/>
      <c r="I79" s="31"/>
    </row>
    <row r="80" spans="1:9" x14ac:dyDescent="0.25">
      <c r="A80" s="7"/>
      <c r="B80" s="7"/>
      <c r="C80" s="19"/>
      <c r="D80" s="7"/>
      <c r="E80" s="7"/>
      <c r="F80" s="9"/>
      <c r="G80" s="8"/>
      <c r="H80" s="31"/>
      <c r="I80" s="31"/>
    </row>
    <row r="81" spans="1:10" x14ac:dyDescent="0.25">
      <c r="A81" s="7"/>
      <c r="B81" s="7"/>
      <c r="C81" s="19"/>
      <c r="D81" s="7"/>
      <c r="E81" s="7"/>
      <c r="F81" s="9"/>
      <c r="G81" s="8"/>
      <c r="H81" s="31"/>
      <c r="I81" s="31"/>
    </row>
    <row r="82" spans="1:10" ht="15.75" x14ac:dyDescent="0.25">
      <c r="A82" s="16"/>
      <c r="B82" s="7"/>
      <c r="C82" s="19"/>
      <c r="D82" s="7"/>
      <c r="E82" s="7"/>
      <c r="F82" s="9"/>
      <c r="G82" s="8"/>
      <c r="H82" s="31"/>
      <c r="I82" s="31"/>
    </row>
    <row r="83" spans="1:10" ht="15.75" x14ac:dyDescent="0.25">
      <c r="A83" s="16"/>
      <c r="B83" s="7"/>
      <c r="C83" s="19"/>
      <c r="D83" s="7"/>
      <c r="E83" s="7"/>
      <c r="F83" s="9"/>
      <c r="G83" s="8"/>
      <c r="H83" s="31"/>
      <c r="I83" s="31"/>
    </row>
    <row r="84" spans="1:10" ht="15.75" x14ac:dyDescent="0.25">
      <c r="A84" s="7"/>
      <c r="B84" s="7"/>
      <c r="C84" s="19"/>
      <c r="D84" s="7"/>
      <c r="E84" s="7"/>
      <c r="F84" s="9"/>
      <c r="G84" s="8"/>
      <c r="H84" s="31"/>
      <c r="I84" s="31"/>
      <c r="J84" s="1"/>
    </row>
    <row r="85" spans="1:10" ht="15.75" x14ac:dyDescent="0.25">
      <c r="A85" s="16"/>
      <c r="B85" s="7"/>
      <c r="C85" s="19"/>
      <c r="D85" s="7"/>
      <c r="E85" s="7"/>
      <c r="F85" s="9"/>
      <c r="G85" s="8"/>
      <c r="H85" s="31"/>
      <c r="I85" s="31"/>
    </row>
    <row r="86" spans="1:10" ht="15.75" x14ac:dyDescent="0.25">
      <c r="A86" s="16"/>
      <c r="B86" s="7"/>
      <c r="C86" s="19"/>
      <c r="D86" s="7"/>
      <c r="E86" s="7"/>
      <c r="F86" s="9"/>
      <c r="G86" s="8"/>
      <c r="H86" s="31"/>
      <c r="I86" s="31"/>
    </row>
    <row r="87" spans="1:10" ht="15" customHeight="1" x14ac:dyDescent="0.25">
      <c r="A87" s="6"/>
      <c r="B87" s="6"/>
      <c r="C87" s="20"/>
      <c r="D87" s="6"/>
      <c r="E87" s="6"/>
      <c r="F87" s="9"/>
      <c r="G87" s="8"/>
      <c r="H87" s="31"/>
      <c r="I87" s="31"/>
    </row>
    <row r="88" spans="1:10" x14ac:dyDescent="0.25">
      <c r="A88" s="6"/>
      <c r="B88" s="6"/>
      <c r="C88" s="20"/>
      <c r="D88" s="6"/>
      <c r="E88" s="6"/>
      <c r="F88" s="9"/>
      <c r="G88" s="8"/>
      <c r="H88" s="31"/>
      <c r="I88" s="31"/>
    </row>
    <row r="89" spans="1:10" x14ac:dyDescent="0.25">
      <c r="A89" s="6"/>
      <c r="B89" s="6"/>
      <c r="C89" s="20"/>
      <c r="D89" s="6"/>
      <c r="E89" s="6"/>
      <c r="F89" s="9"/>
      <c r="G89" s="8"/>
      <c r="H89" s="31"/>
      <c r="I89" s="31"/>
    </row>
    <row r="90" spans="1:10" ht="15" customHeight="1" x14ac:dyDescent="0.25">
      <c r="A90" s="6"/>
      <c r="B90" s="6"/>
      <c r="C90" s="20"/>
      <c r="D90" s="6"/>
      <c r="E90" s="6"/>
      <c r="F90" s="9"/>
      <c r="G90" s="8"/>
      <c r="H90" s="31"/>
      <c r="I90" s="31"/>
    </row>
    <row r="91" spans="1:10" x14ac:dyDescent="0.25">
      <c r="A91" s="6"/>
      <c r="B91" s="6"/>
      <c r="C91" s="20"/>
      <c r="D91" s="6"/>
      <c r="E91" s="6"/>
      <c r="F91" s="9"/>
      <c r="G91" s="8"/>
      <c r="H91" s="31"/>
      <c r="I91" s="31"/>
    </row>
    <row r="92" spans="1:10" x14ac:dyDescent="0.25">
      <c r="A92" s="6"/>
      <c r="B92" s="6"/>
      <c r="C92" s="20"/>
      <c r="D92" s="6"/>
      <c r="E92" s="6"/>
      <c r="F92" s="9"/>
      <c r="G92" s="8"/>
      <c r="H92" s="31"/>
      <c r="I92" s="31"/>
    </row>
  </sheetData>
  <sheetProtection password="C5FE" sheet="1" objects="1" scenarios="1" formatCells="0" formatColumns="0" formatRows="0"/>
  <mergeCells count="6">
    <mergeCell ref="A1:F1"/>
    <mergeCell ref="A5:C5"/>
    <mergeCell ref="A6:C6"/>
    <mergeCell ref="A7:C7"/>
    <mergeCell ref="A9:C9"/>
    <mergeCell ref="A8:C8"/>
  </mergeCells>
  <pageMargins left="0.95866141699999996" right="0.70866141732283505" top="0.74803149606299202" bottom="0.74803149606299202" header="0.31496062992126" footer="0.31496062992126"/>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1"/>
  <sheetViews>
    <sheetView topLeftCell="A188" zoomScaleNormal="100" workbookViewId="0">
      <selection activeCell="E193" sqref="E193"/>
    </sheetView>
  </sheetViews>
  <sheetFormatPr defaultRowHeight="15" x14ac:dyDescent="0.25"/>
  <cols>
    <col min="1" max="1" width="10" customWidth="1"/>
    <col min="2" max="2" width="10.85546875" customWidth="1"/>
    <col min="4" max="4" width="50.28515625" customWidth="1"/>
    <col min="5" max="5" width="9.42578125" customWidth="1"/>
    <col min="6" max="6" width="6" customWidth="1"/>
    <col min="7" max="7" width="48.7109375" customWidth="1"/>
  </cols>
  <sheetData>
    <row r="1" spans="1:7" ht="26.25" x14ac:dyDescent="0.4">
      <c r="A1" s="676" t="s">
        <v>118</v>
      </c>
      <c r="B1" s="676"/>
      <c r="C1" s="676"/>
      <c r="D1" s="676"/>
      <c r="E1" s="676"/>
      <c r="F1" s="30"/>
    </row>
    <row r="2" spans="1:7" ht="15.75" thickBot="1" x14ac:dyDescent="0.3">
      <c r="A2" s="30"/>
      <c r="B2" s="30"/>
      <c r="C2" s="30"/>
      <c r="D2" s="30"/>
      <c r="E2" s="30"/>
      <c r="F2" s="30"/>
    </row>
    <row r="3" spans="1:7" ht="54.75" thickBot="1" x14ac:dyDescent="0.35">
      <c r="A3" s="283" t="s">
        <v>124</v>
      </c>
      <c r="B3" s="284" t="s">
        <v>120</v>
      </c>
      <c r="C3" s="677" t="s">
        <v>132</v>
      </c>
      <c r="D3" s="677"/>
      <c r="E3" s="285" t="s">
        <v>133</v>
      </c>
      <c r="F3" s="287"/>
      <c r="G3" s="288" t="s">
        <v>744</v>
      </c>
    </row>
    <row r="4" spans="1:7" s="15" customFormat="1" ht="81" customHeight="1" thickBot="1" x14ac:dyDescent="0.3">
      <c r="A4" s="255">
        <v>1</v>
      </c>
      <c r="B4" s="255" t="s">
        <v>64</v>
      </c>
      <c r="C4" s="663" t="s">
        <v>738</v>
      </c>
      <c r="D4" s="664"/>
      <c r="E4" s="261">
        <v>4</v>
      </c>
      <c r="F4" s="72"/>
      <c r="G4" s="223" t="s">
        <v>271</v>
      </c>
    </row>
    <row r="5" spans="1:7" s="15" customFormat="1" ht="29.25" customHeight="1" x14ac:dyDescent="0.25">
      <c r="A5" s="255"/>
      <c r="B5" s="255"/>
      <c r="C5" s="215">
        <v>1</v>
      </c>
      <c r="D5" s="308" t="s">
        <v>745</v>
      </c>
      <c r="E5" s="303"/>
      <c r="F5" s="72"/>
      <c r="G5" s="235"/>
    </row>
    <row r="6" spans="1:7" s="15" customFormat="1" ht="29.25" customHeight="1" x14ac:dyDescent="0.25">
      <c r="A6" s="255"/>
      <c r="B6" s="255"/>
      <c r="C6" s="215">
        <v>2</v>
      </c>
      <c r="D6" s="308" t="s">
        <v>746</v>
      </c>
      <c r="E6" s="303"/>
      <c r="F6" s="72"/>
      <c r="G6" s="235"/>
    </row>
    <row r="7" spans="1:7" s="15" customFormat="1" ht="29.25" customHeight="1" x14ac:dyDescent="0.25">
      <c r="A7" s="255"/>
      <c r="B7" s="255"/>
      <c r="C7" s="215">
        <v>3</v>
      </c>
      <c r="D7" s="308" t="s">
        <v>747</v>
      </c>
      <c r="E7" s="303"/>
      <c r="F7" s="72"/>
      <c r="G7" s="235"/>
    </row>
    <row r="8" spans="1:7" s="15" customFormat="1" ht="29.25" customHeight="1" x14ac:dyDescent="0.25">
      <c r="A8" s="255"/>
      <c r="B8" s="255"/>
      <c r="C8" s="215">
        <v>4</v>
      </c>
      <c r="D8" s="308" t="s">
        <v>748</v>
      </c>
      <c r="E8" s="303"/>
      <c r="F8" s="72"/>
      <c r="G8" s="235"/>
    </row>
    <row r="9" spans="1:7" s="15" customFormat="1" ht="15.75" thickBot="1" x14ac:dyDescent="0.3">
      <c r="A9" s="255"/>
      <c r="B9" s="255"/>
      <c r="C9" s="645" t="s">
        <v>103</v>
      </c>
      <c r="D9" s="646"/>
      <c r="E9" s="263">
        <f>E4</f>
        <v>4</v>
      </c>
      <c r="F9" s="72"/>
      <c r="G9" s="235"/>
    </row>
    <row r="10" spans="1:7" s="15" customFormat="1" ht="15.75" thickBot="1" x14ac:dyDescent="0.3">
      <c r="A10" s="255"/>
      <c r="B10" s="255"/>
      <c r="C10" s="72"/>
      <c r="D10" s="72"/>
      <c r="E10" s="258"/>
      <c r="F10" s="72"/>
      <c r="G10" s="235"/>
    </row>
    <row r="11" spans="1:7" s="15" customFormat="1" ht="84.75" customHeight="1" thickBot="1" x14ac:dyDescent="0.3">
      <c r="A11" s="255">
        <v>2</v>
      </c>
      <c r="B11" s="255" t="s">
        <v>65</v>
      </c>
      <c r="C11" s="735" t="s">
        <v>7</v>
      </c>
      <c r="D11" s="736"/>
      <c r="E11" s="261">
        <v>4</v>
      </c>
      <c r="F11" s="72"/>
      <c r="G11" s="223" t="s">
        <v>272</v>
      </c>
    </row>
    <row r="12" spans="1:7" s="15" customFormat="1" ht="42.75" customHeight="1" x14ac:dyDescent="0.25">
      <c r="A12" s="255"/>
      <c r="B12" s="255"/>
      <c r="C12" s="215">
        <v>1</v>
      </c>
      <c r="D12" s="309" t="s">
        <v>750</v>
      </c>
      <c r="E12" s="303"/>
      <c r="F12" s="72"/>
      <c r="G12" s="235"/>
    </row>
    <row r="13" spans="1:7" s="15" customFormat="1" ht="42.75" customHeight="1" x14ac:dyDescent="0.25">
      <c r="A13" s="255"/>
      <c r="B13" s="255"/>
      <c r="C13" s="215">
        <v>2</v>
      </c>
      <c r="D13" s="309" t="s">
        <v>749</v>
      </c>
      <c r="E13" s="303"/>
      <c r="F13" s="72"/>
      <c r="G13" s="235"/>
    </row>
    <row r="14" spans="1:7" s="15" customFormat="1" ht="42.75" customHeight="1" x14ac:dyDescent="0.25">
      <c r="A14" s="255"/>
      <c r="B14" s="255"/>
      <c r="C14" s="215">
        <v>3</v>
      </c>
      <c r="D14" s="309" t="s">
        <v>751</v>
      </c>
      <c r="E14" s="303"/>
      <c r="F14" s="72"/>
      <c r="G14" s="235"/>
    </row>
    <row r="15" spans="1:7" s="15" customFormat="1" ht="42.75" customHeight="1" x14ac:dyDescent="0.25">
      <c r="A15" s="255"/>
      <c r="B15" s="255"/>
      <c r="C15" s="215">
        <v>4</v>
      </c>
      <c r="D15" s="309" t="s">
        <v>752</v>
      </c>
      <c r="E15" s="303"/>
      <c r="F15" s="72"/>
      <c r="G15" s="235"/>
    </row>
    <row r="16" spans="1:7" s="15" customFormat="1" ht="15.75" thickBot="1" x14ac:dyDescent="0.3">
      <c r="A16" s="255"/>
      <c r="B16" s="255"/>
      <c r="C16" s="645" t="s">
        <v>103</v>
      </c>
      <c r="D16" s="646"/>
      <c r="E16" s="263">
        <f>E11</f>
        <v>4</v>
      </c>
      <c r="F16" s="72"/>
      <c r="G16" s="235"/>
    </row>
    <row r="17" spans="1:7" s="15" customFormat="1" ht="15.75" thickBot="1" x14ac:dyDescent="0.3">
      <c r="A17" s="255"/>
      <c r="B17" s="255"/>
      <c r="C17" s="72"/>
      <c r="D17" s="72"/>
      <c r="E17" s="258"/>
      <c r="F17" s="72"/>
      <c r="G17" s="235"/>
    </row>
    <row r="18" spans="1:7" s="15" customFormat="1" ht="90" customHeight="1" thickBot="1" x14ac:dyDescent="0.3">
      <c r="A18" s="255">
        <v>3</v>
      </c>
      <c r="B18" s="255" t="s">
        <v>125</v>
      </c>
      <c r="C18" s="661" t="s">
        <v>217</v>
      </c>
      <c r="D18" s="672"/>
      <c r="E18" s="261">
        <v>4</v>
      </c>
      <c r="F18" s="72"/>
      <c r="G18" s="223" t="s">
        <v>758</v>
      </c>
    </row>
    <row r="19" spans="1:7" s="15" customFormat="1" ht="30.75" customHeight="1" x14ac:dyDescent="0.25">
      <c r="A19" s="255"/>
      <c r="B19" s="255"/>
      <c r="C19" s="215">
        <v>1</v>
      </c>
      <c r="D19" s="243" t="s">
        <v>314</v>
      </c>
      <c r="E19" s="303"/>
      <c r="F19" s="72"/>
      <c r="G19" s="235"/>
    </row>
    <row r="20" spans="1:7" s="15" customFormat="1" ht="30.75" customHeight="1" x14ac:dyDescent="0.25">
      <c r="A20" s="255"/>
      <c r="B20" s="255"/>
      <c r="C20" s="215">
        <v>2</v>
      </c>
      <c r="D20" s="243" t="s">
        <v>753</v>
      </c>
      <c r="E20" s="303"/>
      <c r="F20" s="72"/>
      <c r="G20" s="235"/>
    </row>
    <row r="21" spans="1:7" s="15" customFormat="1" ht="30.75" customHeight="1" x14ac:dyDescent="0.25">
      <c r="A21" s="255"/>
      <c r="B21" s="255"/>
      <c r="C21" s="215">
        <v>3</v>
      </c>
      <c r="D21" s="243" t="s">
        <v>315</v>
      </c>
      <c r="E21" s="303"/>
      <c r="F21" s="72"/>
      <c r="G21" s="235"/>
    </row>
    <row r="22" spans="1:7" s="15" customFormat="1" ht="30.75" customHeight="1" x14ac:dyDescent="0.25">
      <c r="A22" s="255"/>
      <c r="B22" s="255"/>
      <c r="C22" s="215">
        <v>4</v>
      </c>
      <c r="D22" s="243" t="s">
        <v>316</v>
      </c>
      <c r="E22" s="303"/>
      <c r="F22" s="72"/>
      <c r="G22" s="235"/>
    </row>
    <row r="23" spans="1:7" s="15" customFormat="1" ht="15.75" thickBot="1" x14ac:dyDescent="0.3">
      <c r="A23" s="255"/>
      <c r="B23" s="255"/>
      <c r="C23" s="653" t="s">
        <v>103</v>
      </c>
      <c r="D23" s="654"/>
      <c r="E23" s="263">
        <f>E18</f>
        <v>4</v>
      </c>
      <c r="F23" s="72"/>
      <c r="G23" s="235"/>
    </row>
    <row r="24" spans="1:7" s="15" customFormat="1" ht="15.75" thickBot="1" x14ac:dyDescent="0.3">
      <c r="A24" s="255"/>
      <c r="B24" s="255"/>
      <c r="C24" s="72"/>
      <c r="D24" s="72"/>
      <c r="E24" s="258"/>
      <c r="F24" s="72"/>
      <c r="G24" s="235"/>
    </row>
    <row r="25" spans="1:7" s="15" customFormat="1" ht="78" customHeight="1" thickBot="1" x14ac:dyDescent="0.3">
      <c r="A25" s="255">
        <v>4</v>
      </c>
      <c r="B25" s="255" t="s">
        <v>126</v>
      </c>
      <c r="C25" s="663" t="s">
        <v>8</v>
      </c>
      <c r="D25" s="664"/>
      <c r="E25" s="261">
        <v>4</v>
      </c>
      <c r="F25" s="72"/>
      <c r="G25" s="223" t="s">
        <v>273</v>
      </c>
    </row>
    <row r="26" spans="1:7" s="15" customFormat="1" ht="42" customHeight="1" x14ac:dyDescent="0.25">
      <c r="A26" s="255"/>
      <c r="B26" s="255"/>
      <c r="C26" s="217">
        <v>0</v>
      </c>
      <c r="D26" s="243" t="s">
        <v>317</v>
      </c>
      <c r="E26" s="303"/>
      <c r="F26" s="72"/>
      <c r="G26" s="235"/>
    </row>
    <row r="27" spans="1:7" s="15" customFormat="1" ht="54.75" customHeight="1" x14ac:dyDescent="0.25">
      <c r="A27" s="255"/>
      <c r="B27" s="255"/>
      <c r="C27" s="217">
        <v>1</v>
      </c>
      <c r="D27" s="243" t="s">
        <v>318</v>
      </c>
      <c r="E27" s="303"/>
      <c r="F27" s="72"/>
      <c r="G27" s="235"/>
    </row>
    <row r="28" spans="1:7" s="15" customFormat="1" ht="54.75" customHeight="1" x14ac:dyDescent="0.25">
      <c r="A28" s="255"/>
      <c r="B28" s="255"/>
      <c r="C28" s="217">
        <v>2</v>
      </c>
      <c r="D28" s="243" t="s">
        <v>319</v>
      </c>
      <c r="E28" s="303"/>
      <c r="F28" s="72"/>
      <c r="G28" s="235"/>
    </row>
    <row r="29" spans="1:7" s="15" customFormat="1" ht="54.75" customHeight="1" x14ac:dyDescent="0.25">
      <c r="A29" s="255"/>
      <c r="B29" s="255"/>
      <c r="C29" s="217">
        <v>3</v>
      </c>
      <c r="D29" s="243" t="s">
        <v>320</v>
      </c>
      <c r="E29" s="303"/>
      <c r="F29" s="72"/>
      <c r="G29" s="235"/>
    </row>
    <row r="30" spans="1:7" s="15" customFormat="1" ht="54.75" customHeight="1" x14ac:dyDescent="0.25">
      <c r="A30" s="255"/>
      <c r="B30" s="255"/>
      <c r="C30" s="217">
        <v>4</v>
      </c>
      <c r="D30" s="243" t="s">
        <v>321</v>
      </c>
      <c r="E30" s="303"/>
      <c r="F30" s="72"/>
      <c r="G30" s="235"/>
    </row>
    <row r="31" spans="1:7" s="15" customFormat="1" ht="15.75" thickBot="1" x14ac:dyDescent="0.3">
      <c r="A31" s="255"/>
      <c r="B31" s="255"/>
      <c r="C31" s="653" t="s">
        <v>103</v>
      </c>
      <c r="D31" s="654"/>
      <c r="E31" s="263">
        <f>E25</f>
        <v>4</v>
      </c>
      <c r="F31" s="72"/>
      <c r="G31" s="235"/>
    </row>
    <row r="32" spans="1:7" s="15" customFormat="1" ht="15.75" thickBot="1" x14ac:dyDescent="0.3">
      <c r="A32" s="255"/>
      <c r="B32" s="255"/>
      <c r="C32" s="70"/>
      <c r="D32" s="70"/>
      <c r="E32" s="264"/>
      <c r="F32" s="72"/>
      <c r="G32" s="235"/>
    </row>
    <row r="33" spans="1:7" s="15" customFormat="1" ht="88.5" customHeight="1" thickBot="1" x14ac:dyDescent="0.3">
      <c r="A33" s="255">
        <v>5</v>
      </c>
      <c r="B33" s="255" t="s">
        <v>127</v>
      </c>
      <c r="C33" s="659" t="s">
        <v>67</v>
      </c>
      <c r="D33" s="660"/>
      <c r="E33" s="261">
        <v>4</v>
      </c>
      <c r="F33" s="72"/>
      <c r="G33" s="223" t="s">
        <v>274</v>
      </c>
    </row>
    <row r="34" spans="1:7" s="15" customFormat="1" ht="31.5" customHeight="1" x14ac:dyDescent="0.25">
      <c r="A34" s="255"/>
      <c r="B34" s="255"/>
      <c r="C34" s="215">
        <v>1</v>
      </c>
      <c r="D34" s="220" t="s">
        <v>754</v>
      </c>
      <c r="E34" s="303"/>
      <c r="F34" s="72"/>
      <c r="G34" s="235"/>
    </row>
    <row r="35" spans="1:7" s="15" customFormat="1" ht="43.5" customHeight="1" x14ac:dyDescent="0.25">
      <c r="A35" s="255"/>
      <c r="B35" s="255"/>
      <c r="C35" s="215">
        <v>2</v>
      </c>
      <c r="D35" s="220" t="s">
        <v>755</v>
      </c>
      <c r="E35" s="303"/>
      <c r="F35" s="72"/>
      <c r="G35" s="235"/>
    </row>
    <row r="36" spans="1:7" s="15" customFormat="1" ht="31.5" customHeight="1" x14ac:dyDescent="0.25">
      <c r="A36" s="255"/>
      <c r="B36" s="255"/>
      <c r="C36" s="215">
        <v>3</v>
      </c>
      <c r="D36" s="220" t="s">
        <v>756</v>
      </c>
      <c r="E36" s="303"/>
      <c r="F36" s="72"/>
      <c r="G36" s="235"/>
    </row>
    <row r="37" spans="1:7" s="15" customFormat="1" ht="31.5" customHeight="1" x14ac:dyDescent="0.25">
      <c r="A37" s="255"/>
      <c r="B37" s="255"/>
      <c r="C37" s="215">
        <v>4</v>
      </c>
      <c r="D37" s="220" t="s">
        <v>757</v>
      </c>
      <c r="E37" s="303"/>
      <c r="F37" s="72"/>
      <c r="G37" s="235"/>
    </row>
    <row r="38" spans="1:7" s="15" customFormat="1" ht="15.75" thickBot="1" x14ac:dyDescent="0.3">
      <c r="A38" s="255"/>
      <c r="B38" s="255"/>
      <c r="C38" s="653" t="s">
        <v>103</v>
      </c>
      <c r="D38" s="654"/>
      <c r="E38" s="263">
        <f>E33</f>
        <v>4</v>
      </c>
      <c r="F38" s="72"/>
      <c r="G38" s="235"/>
    </row>
    <row r="39" spans="1:7" s="15" customFormat="1" ht="15.75" thickBot="1" x14ac:dyDescent="0.3">
      <c r="A39" s="255"/>
      <c r="B39" s="255"/>
      <c r="C39" s="70"/>
      <c r="D39" s="70"/>
      <c r="E39" s="264"/>
      <c r="F39" s="72"/>
      <c r="G39" s="235"/>
    </row>
    <row r="40" spans="1:7" s="15" customFormat="1" ht="108" customHeight="1" thickBot="1" x14ac:dyDescent="0.3">
      <c r="A40" s="255">
        <v>6</v>
      </c>
      <c r="B40" s="255" t="s">
        <v>128</v>
      </c>
      <c r="C40" s="661" t="s">
        <v>169</v>
      </c>
      <c r="D40" s="672"/>
      <c r="E40" s="261">
        <v>4</v>
      </c>
      <c r="F40" s="72"/>
      <c r="G40" s="223" t="s">
        <v>763</v>
      </c>
    </row>
    <row r="41" spans="1:7" s="15" customFormat="1" ht="43.5" customHeight="1" x14ac:dyDescent="0.25">
      <c r="A41" s="255"/>
      <c r="B41" s="255"/>
      <c r="C41" s="215">
        <v>1</v>
      </c>
      <c r="D41" s="243" t="s">
        <v>759</v>
      </c>
      <c r="E41" s="303"/>
      <c r="F41" s="72"/>
      <c r="G41" s="235"/>
    </row>
    <row r="42" spans="1:7" s="15" customFormat="1" ht="55.5" customHeight="1" x14ac:dyDescent="0.25">
      <c r="A42" s="255"/>
      <c r="B42" s="255"/>
      <c r="C42" s="215">
        <v>2</v>
      </c>
      <c r="D42" s="243" t="s">
        <v>760</v>
      </c>
      <c r="E42" s="303"/>
      <c r="F42" s="72"/>
      <c r="G42" s="235"/>
    </row>
    <row r="43" spans="1:7" s="15" customFormat="1" ht="55.5" customHeight="1" x14ac:dyDescent="0.25">
      <c r="A43" s="255"/>
      <c r="B43" s="255"/>
      <c r="C43" s="215">
        <v>3</v>
      </c>
      <c r="D43" s="243" t="s">
        <v>761</v>
      </c>
      <c r="E43" s="303"/>
      <c r="F43" s="72"/>
      <c r="G43" s="235"/>
    </row>
    <row r="44" spans="1:7" s="15" customFormat="1" ht="55.5" customHeight="1" x14ac:dyDescent="0.25">
      <c r="A44" s="255"/>
      <c r="B44" s="255"/>
      <c r="C44" s="215">
        <v>4</v>
      </c>
      <c r="D44" s="243" t="s">
        <v>762</v>
      </c>
      <c r="E44" s="303"/>
      <c r="F44" s="72"/>
      <c r="G44" s="235"/>
    </row>
    <row r="45" spans="1:7" s="15" customFormat="1" ht="15.75" thickBot="1" x14ac:dyDescent="0.3">
      <c r="A45" s="255"/>
      <c r="B45" s="255"/>
      <c r="C45" s="653" t="s">
        <v>103</v>
      </c>
      <c r="D45" s="654"/>
      <c r="E45" s="263">
        <f>E40</f>
        <v>4</v>
      </c>
      <c r="F45" s="72"/>
      <c r="G45" s="235"/>
    </row>
    <row r="46" spans="1:7" s="15" customFormat="1" ht="15.75" thickBot="1" x14ac:dyDescent="0.3">
      <c r="A46" s="255"/>
      <c r="B46" s="255"/>
      <c r="C46" s="70"/>
      <c r="D46" s="70"/>
      <c r="E46" s="264"/>
      <c r="F46" s="72"/>
      <c r="G46" s="235"/>
    </row>
    <row r="47" spans="1:7" s="15" customFormat="1" ht="94.5" customHeight="1" thickBot="1" x14ac:dyDescent="0.3">
      <c r="A47" s="255">
        <v>7</v>
      </c>
      <c r="B47" s="255" t="s">
        <v>129</v>
      </c>
      <c r="C47" s="733" t="s">
        <v>764</v>
      </c>
      <c r="D47" s="734"/>
      <c r="E47" s="261">
        <v>4</v>
      </c>
      <c r="F47" s="72"/>
      <c r="G47" s="223" t="s">
        <v>275</v>
      </c>
    </row>
    <row r="48" spans="1:7" s="15" customFormat="1" ht="30" customHeight="1" x14ac:dyDescent="0.25">
      <c r="A48" s="255"/>
      <c r="B48" s="255"/>
      <c r="C48" s="215">
        <v>1</v>
      </c>
      <c r="D48" s="310" t="s">
        <v>765</v>
      </c>
      <c r="E48" s="303"/>
      <c r="F48" s="72"/>
      <c r="G48" s="235"/>
    </row>
    <row r="49" spans="1:7" s="15" customFormat="1" ht="30" customHeight="1" x14ac:dyDescent="0.25">
      <c r="A49" s="255"/>
      <c r="B49" s="255"/>
      <c r="C49" s="215">
        <v>2</v>
      </c>
      <c r="D49" s="310" t="s">
        <v>766</v>
      </c>
      <c r="E49" s="303"/>
      <c r="F49" s="72"/>
      <c r="G49" s="235"/>
    </row>
    <row r="50" spans="1:7" s="15" customFormat="1" ht="30" customHeight="1" x14ac:dyDescent="0.25">
      <c r="A50" s="255"/>
      <c r="B50" s="255"/>
      <c r="C50" s="215">
        <v>3</v>
      </c>
      <c r="D50" s="310" t="s">
        <v>767</v>
      </c>
      <c r="E50" s="303"/>
      <c r="F50" s="72"/>
      <c r="G50" s="235"/>
    </row>
    <row r="51" spans="1:7" s="15" customFormat="1" ht="30" customHeight="1" x14ac:dyDescent="0.25">
      <c r="A51" s="255"/>
      <c r="B51" s="255"/>
      <c r="C51" s="215">
        <v>4</v>
      </c>
      <c r="D51" s="310" t="s">
        <v>768</v>
      </c>
      <c r="E51" s="303"/>
      <c r="F51" s="72"/>
      <c r="G51" s="235"/>
    </row>
    <row r="52" spans="1:7" s="15" customFormat="1" ht="15.75" thickBot="1" x14ac:dyDescent="0.3">
      <c r="A52" s="255"/>
      <c r="B52" s="255"/>
      <c r="C52" s="653" t="s">
        <v>103</v>
      </c>
      <c r="D52" s="654"/>
      <c r="E52" s="263">
        <f>E47</f>
        <v>4</v>
      </c>
      <c r="F52" s="72"/>
      <c r="G52" s="235"/>
    </row>
    <row r="53" spans="1:7" s="15" customFormat="1" ht="15.75" thickBot="1" x14ac:dyDescent="0.3">
      <c r="A53" s="255"/>
      <c r="B53" s="255"/>
      <c r="C53" s="70"/>
      <c r="D53" s="70"/>
      <c r="E53" s="264"/>
      <c r="F53" s="72"/>
      <c r="G53" s="235"/>
    </row>
    <row r="54" spans="1:7" s="15" customFormat="1" ht="83.25" customHeight="1" thickBot="1" x14ac:dyDescent="0.3">
      <c r="A54" s="255">
        <v>8</v>
      </c>
      <c r="B54" s="255" t="s">
        <v>68</v>
      </c>
      <c r="C54" s="273" t="s">
        <v>69</v>
      </c>
      <c r="D54" s="274"/>
      <c r="E54" s="261">
        <v>4</v>
      </c>
      <c r="F54" s="72"/>
      <c r="G54" s="223" t="s">
        <v>276</v>
      </c>
    </row>
    <row r="55" spans="1:7" s="15" customFormat="1" ht="21" customHeight="1" x14ac:dyDescent="0.25">
      <c r="A55" s="255"/>
      <c r="B55" s="255"/>
      <c r="C55" s="217">
        <v>0</v>
      </c>
      <c r="D55" s="243" t="s">
        <v>769</v>
      </c>
      <c r="E55" s="303"/>
      <c r="F55" s="72"/>
      <c r="G55" s="235"/>
    </row>
    <row r="56" spans="1:7" s="15" customFormat="1" ht="35.25" customHeight="1" x14ac:dyDescent="0.25">
      <c r="A56" s="255"/>
      <c r="B56" s="255"/>
      <c r="C56" s="217">
        <v>1</v>
      </c>
      <c r="D56" s="243" t="s">
        <v>770</v>
      </c>
      <c r="E56" s="303"/>
      <c r="F56" s="72"/>
      <c r="G56" s="235"/>
    </row>
    <row r="57" spans="1:7" s="15" customFormat="1" ht="42" customHeight="1" x14ac:dyDescent="0.25">
      <c r="A57" s="255"/>
      <c r="B57" s="255"/>
      <c r="C57" s="217">
        <v>2</v>
      </c>
      <c r="D57" s="243" t="s">
        <v>771</v>
      </c>
      <c r="E57" s="303"/>
      <c r="F57" s="72"/>
      <c r="G57" s="235"/>
    </row>
    <row r="58" spans="1:7" s="15" customFormat="1" ht="42" customHeight="1" x14ac:dyDescent="0.25">
      <c r="A58" s="255"/>
      <c r="B58" s="255"/>
      <c r="C58" s="217">
        <v>3</v>
      </c>
      <c r="D58" s="243" t="s">
        <v>772</v>
      </c>
      <c r="E58" s="303"/>
      <c r="F58" s="72"/>
      <c r="G58" s="235"/>
    </row>
    <row r="59" spans="1:7" s="15" customFormat="1" ht="42" customHeight="1" x14ac:dyDescent="0.25">
      <c r="A59" s="255"/>
      <c r="B59" s="255"/>
      <c r="C59" s="217">
        <v>4</v>
      </c>
      <c r="D59" s="243" t="s">
        <v>773</v>
      </c>
      <c r="E59" s="303"/>
      <c r="F59" s="72"/>
      <c r="G59" s="235"/>
    </row>
    <row r="60" spans="1:7" s="15" customFormat="1" ht="15.75" thickBot="1" x14ac:dyDescent="0.3">
      <c r="A60" s="255"/>
      <c r="B60" s="255"/>
      <c r="C60" s="653" t="s">
        <v>103</v>
      </c>
      <c r="D60" s="654"/>
      <c r="E60" s="263">
        <f>E54</f>
        <v>4</v>
      </c>
      <c r="F60" s="72"/>
      <c r="G60" s="235"/>
    </row>
    <row r="61" spans="1:7" s="15" customFormat="1" ht="15.75" thickBot="1" x14ac:dyDescent="0.3">
      <c r="A61" s="255"/>
      <c r="B61" s="255"/>
      <c r="C61" s="70"/>
      <c r="D61" s="70"/>
      <c r="E61" s="264"/>
      <c r="F61" s="72"/>
      <c r="G61" s="235"/>
    </row>
    <row r="62" spans="1:7" s="15" customFormat="1" ht="77.25" customHeight="1" thickBot="1" x14ac:dyDescent="0.3">
      <c r="A62" s="255">
        <v>9</v>
      </c>
      <c r="B62" s="255" t="s">
        <v>70</v>
      </c>
      <c r="C62" s="273" t="s">
        <v>71</v>
      </c>
      <c r="D62" s="274"/>
      <c r="E62" s="261">
        <v>4</v>
      </c>
      <c r="F62" s="72"/>
      <c r="G62" s="223" t="s">
        <v>277</v>
      </c>
    </row>
    <row r="63" spans="1:7" s="15" customFormat="1" ht="21" customHeight="1" x14ac:dyDescent="0.25">
      <c r="A63" s="255"/>
      <c r="B63" s="255"/>
      <c r="C63" s="217">
        <v>0</v>
      </c>
      <c r="D63" s="243" t="s">
        <v>774</v>
      </c>
      <c r="E63" s="303"/>
      <c r="F63" s="72"/>
      <c r="G63" s="235"/>
    </row>
    <row r="64" spans="1:7" s="15" customFormat="1" ht="30.75" customHeight="1" x14ac:dyDescent="0.25">
      <c r="A64" s="255"/>
      <c r="B64" s="255"/>
      <c r="C64" s="217">
        <v>1</v>
      </c>
      <c r="D64" s="243" t="s">
        <v>775</v>
      </c>
      <c r="E64" s="303"/>
      <c r="F64" s="72"/>
      <c r="G64" s="235"/>
    </row>
    <row r="65" spans="1:7" s="15" customFormat="1" ht="30.75" customHeight="1" x14ac:dyDescent="0.25">
      <c r="A65" s="255"/>
      <c r="B65" s="255"/>
      <c r="C65" s="217">
        <v>2</v>
      </c>
      <c r="D65" s="243" t="s">
        <v>776</v>
      </c>
      <c r="E65" s="303"/>
      <c r="F65" s="72"/>
      <c r="G65" s="235"/>
    </row>
    <row r="66" spans="1:7" s="15" customFormat="1" ht="30.75" customHeight="1" x14ac:dyDescent="0.25">
      <c r="A66" s="255"/>
      <c r="B66" s="255"/>
      <c r="C66" s="217">
        <v>3</v>
      </c>
      <c r="D66" s="243" t="s">
        <v>777</v>
      </c>
      <c r="E66" s="303"/>
      <c r="F66" s="72"/>
      <c r="G66" s="235"/>
    </row>
    <row r="67" spans="1:7" s="15" customFormat="1" ht="30.75" customHeight="1" x14ac:dyDescent="0.25">
      <c r="A67" s="255"/>
      <c r="B67" s="255"/>
      <c r="C67" s="217">
        <v>4</v>
      </c>
      <c r="D67" s="243" t="s">
        <v>778</v>
      </c>
      <c r="E67" s="303"/>
      <c r="F67" s="72"/>
      <c r="G67" s="235"/>
    </row>
    <row r="68" spans="1:7" s="15" customFormat="1" ht="15.75" thickBot="1" x14ac:dyDescent="0.3">
      <c r="A68" s="255"/>
      <c r="B68" s="255"/>
      <c r="C68" s="645" t="s">
        <v>103</v>
      </c>
      <c r="D68" s="646"/>
      <c r="E68" s="263">
        <f>E62</f>
        <v>4</v>
      </c>
      <c r="F68" s="72"/>
      <c r="G68" s="235"/>
    </row>
    <row r="69" spans="1:7" s="15" customFormat="1" ht="15.75" thickBot="1" x14ac:dyDescent="0.3">
      <c r="A69" s="255"/>
      <c r="B69" s="255"/>
      <c r="C69" s="72"/>
      <c r="D69" s="72"/>
      <c r="E69" s="258"/>
      <c r="F69" s="72"/>
      <c r="G69" s="235"/>
    </row>
    <row r="70" spans="1:7" s="15" customFormat="1" ht="79.5" customHeight="1" thickBot="1" x14ac:dyDescent="0.3">
      <c r="A70" s="255">
        <v>10</v>
      </c>
      <c r="B70" s="255" t="s">
        <v>72</v>
      </c>
      <c r="C70" s="663" t="s">
        <v>143</v>
      </c>
      <c r="D70" s="664"/>
      <c r="E70" s="261">
        <v>4</v>
      </c>
      <c r="F70" s="72"/>
      <c r="G70" s="223" t="s">
        <v>278</v>
      </c>
    </row>
    <row r="71" spans="1:7" s="15" customFormat="1" ht="27.75" customHeight="1" x14ac:dyDescent="0.25">
      <c r="A71" s="255"/>
      <c r="B71" s="255"/>
      <c r="C71" s="217">
        <v>0</v>
      </c>
      <c r="D71" s="308" t="s">
        <v>779</v>
      </c>
      <c r="E71" s="303"/>
      <c r="F71" s="72"/>
      <c r="G71" s="235"/>
    </row>
    <row r="72" spans="1:7" s="15" customFormat="1" ht="21.75" customHeight="1" x14ac:dyDescent="0.25">
      <c r="A72" s="255"/>
      <c r="B72" s="255"/>
      <c r="C72" s="217">
        <v>1</v>
      </c>
      <c r="D72" s="308" t="s">
        <v>594</v>
      </c>
      <c r="E72" s="303"/>
      <c r="F72" s="72"/>
      <c r="G72" s="235"/>
    </row>
    <row r="73" spans="1:7" s="15" customFormat="1" ht="27.75" customHeight="1" x14ac:dyDescent="0.25">
      <c r="A73" s="255"/>
      <c r="B73" s="255"/>
      <c r="C73" s="217">
        <v>2</v>
      </c>
      <c r="D73" s="308" t="s">
        <v>780</v>
      </c>
      <c r="E73" s="303"/>
      <c r="F73" s="72"/>
      <c r="G73" s="235"/>
    </row>
    <row r="74" spans="1:7" s="15" customFormat="1" ht="22.5" customHeight="1" x14ac:dyDescent="0.25">
      <c r="A74" s="255"/>
      <c r="B74" s="255"/>
      <c r="C74" s="217">
        <v>3</v>
      </c>
      <c r="D74" s="308" t="s">
        <v>596</v>
      </c>
      <c r="E74" s="303"/>
      <c r="F74" s="72"/>
      <c r="G74" s="235"/>
    </row>
    <row r="75" spans="1:7" s="15" customFormat="1" ht="27.75" customHeight="1" x14ac:dyDescent="0.25">
      <c r="A75" s="255"/>
      <c r="B75" s="255"/>
      <c r="C75" s="217">
        <v>4</v>
      </c>
      <c r="D75" s="308" t="s">
        <v>781</v>
      </c>
      <c r="E75" s="303"/>
      <c r="F75" s="72"/>
      <c r="G75" s="235"/>
    </row>
    <row r="76" spans="1:7" s="15" customFormat="1" ht="15.75" thickBot="1" x14ac:dyDescent="0.3">
      <c r="A76" s="255"/>
      <c r="B76" s="255"/>
      <c r="C76" s="645" t="s">
        <v>103</v>
      </c>
      <c r="D76" s="646"/>
      <c r="E76" s="263">
        <f>IF(OR(E70=1,E70=3),"Salah isi.",E70)</f>
        <v>4</v>
      </c>
      <c r="F76" s="72"/>
      <c r="G76" s="235"/>
    </row>
    <row r="77" spans="1:7" s="15" customFormat="1" ht="15.75" thickBot="1" x14ac:dyDescent="0.3">
      <c r="A77" s="255"/>
      <c r="B77" s="255"/>
      <c r="C77" s="72"/>
      <c r="D77" s="72"/>
      <c r="E77" s="258"/>
      <c r="F77" s="72"/>
      <c r="G77" s="235"/>
    </row>
    <row r="78" spans="1:7" s="15" customFormat="1" ht="48.75" customHeight="1" thickBot="1" x14ac:dyDescent="0.3">
      <c r="A78" s="255">
        <v>11</v>
      </c>
      <c r="B78" s="255" t="s">
        <v>9</v>
      </c>
      <c r="C78" s="275" t="s">
        <v>279</v>
      </c>
      <c r="D78" s="276"/>
      <c r="E78" s="265"/>
      <c r="F78" s="72"/>
      <c r="G78" s="99" t="str">
        <f>C78&amp;" = "&amp;E79&amp;"/"&amp;E80&amp;" = "&amp;TEXT(E81,"0.00")&amp;"."</f>
        <v>Rasio total mahasiswa baru transfer terhadap total mahasiswa baru keseluruhan = 7/100 = 0.07.</v>
      </c>
    </row>
    <row r="79" spans="1:7" ht="26.25" x14ac:dyDescent="0.25">
      <c r="A79" s="289"/>
      <c r="B79" s="289"/>
      <c r="C79" s="71" t="s">
        <v>782</v>
      </c>
      <c r="D79" s="73" t="s">
        <v>280</v>
      </c>
      <c r="E79" s="266">
        <v>7</v>
      </c>
      <c r="F79" s="72"/>
      <c r="G79" s="651"/>
    </row>
    <row r="80" spans="1:7" ht="27" thickBot="1" x14ac:dyDescent="0.3">
      <c r="A80" s="255"/>
      <c r="B80" s="255"/>
      <c r="C80" s="71" t="s">
        <v>783</v>
      </c>
      <c r="D80" s="73" t="s">
        <v>218</v>
      </c>
      <c r="E80" s="266">
        <v>100</v>
      </c>
      <c r="F80" s="72"/>
      <c r="G80" s="652"/>
    </row>
    <row r="81" spans="1:7" ht="15.75" x14ac:dyDescent="0.3">
      <c r="A81" s="255"/>
      <c r="B81" s="255"/>
      <c r="C81" s="71" t="s">
        <v>102</v>
      </c>
      <c r="D81" s="212" t="s">
        <v>784</v>
      </c>
      <c r="E81" s="267">
        <f>E79/E80</f>
        <v>7.0000000000000007E-2</v>
      </c>
      <c r="F81" s="72"/>
      <c r="G81" s="235"/>
    </row>
    <row r="82" spans="1:7" ht="15.75" thickBot="1" x14ac:dyDescent="0.3">
      <c r="A82" s="255"/>
      <c r="B82" s="255"/>
      <c r="C82" s="653" t="s">
        <v>103</v>
      </c>
      <c r="D82" s="654"/>
      <c r="E82" s="263">
        <f>IF(E81&gt;=1.25, 0, IF(E81&gt;0.25, 5-4*E81, 4))</f>
        <v>4</v>
      </c>
      <c r="F82" s="72"/>
      <c r="G82" s="235"/>
    </row>
    <row r="83" spans="1:7" s="15" customFormat="1" ht="15.75" thickBot="1" x14ac:dyDescent="0.3">
      <c r="A83" s="255"/>
      <c r="B83" s="255"/>
      <c r="C83" s="70"/>
      <c r="D83" s="70"/>
      <c r="E83" s="264"/>
      <c r="F83" s="72"/>
      <c r="G83" s="235"/>
    </row>
    <row r="84" spans="1:7" s="15" customFormat="1" ht="78" customHeight="1" thickBot="1" x14ac:dyDescent="0.3">
      <c r="A84" s="255">
        <v>12</v>
      </c>
      <c r="B84" s="255" t="s">
        <v>10</v>
      </c>
      <c r="C84" s="659" t="s">
        <v>785</v>
      </c>
      <c r="D84" s="660"/>
      <c r="E84" s="261">
        <v>4</v>
      </c>
      <c r="F84" s="72"/>
      <c r="G84" s="223" t="s">
        <v>281</v>
      </c>
    </row>
    <row r="85" spans="1:7" s="15" customFormat="1" ht="20.25" customHeight="1" x14ac:dyDescent="0.25">
      <c r="A85" s="255"/>
      <c r="B85" s="255"/>
      <c r="C85" s="215">
        <v>1</v>
      </c>
      <c r="D85" s="220" t="s">
        <v>786</v>
      </c>
      <c r="E85" s="303"/>
      <c r="F85" s="72"/>
      <c r="G85" s="235"/>
    </row>
    <row r="86" spans="1:7" s="15" customFormat="1" ht="57" customHeight="1" x14ac:dyDescent="0.25">
      <c r="A86" s="255"/>
      <c r="B86" s="255"/>
      <c r="C86" s="215">
        <v>2</v>
      </c>
      <c r="D86" s="220" t="s">
        <v>787</v>
      </c>
      <c r="E86" s="303"/>
      <c r="F86" s="72"/>
      <c r="G86" s="235"/>
    </row>
    <row r="87" spans="1:7" s="15" customFormat="1" ht="57" customHeight="1" x14ac:dyDescent="0.25">
      <c r="A87" s="255"/>
      <c r="B87" s="255"/>
      <c r="C87" s="215">
        <v>3</v>
      </c>
      <c r="D87" s="220" t="s">
        <v>788</v>
      </c>
      <c r="E87" s="303"/>
      <c r="F87" s="72"/>
      <c r="G87" s="235"/>
    </row>
    <row r="88" spans="1:7" s="15" customFormat="1" ht="57" customHeight="1" x14ac:dyDescent="0.25">
      <c r="A88" s="255"/>
      <c r="B88" s="255"/>
      <c r="C88" s="215">
        <v>4</v>
      </c>
      <c r="D88" s="220" t="s">
        <v>789</v>
      </c>
      <c r="E88" s="303"/>
      <c r="F88" s="72"/>
      <c r="G88" s="235"/>
    </row>
    <row r="89" spans="1:7" s="15" customFormat="1" ht="15.75" thickBot="1" x14ac:dyDescent="0.3">
      <c r="A89" s="255"/>
      <c r="B89" s="255"/>
      <c r="C89" s="653" t="s">
        <v>103</v>
      </c>
      <c r="D89" s="654"/>
      <c r="E89" s="263">
        <f>E84</f>
        <v>4</v>
      </c>
      <c r="F89" s="72"/>
      <c r="G89" s="235"/>
    </row>
    <row r="90" spans="1:7" ht="15.75" thickBot="1" x14ac:dyDescent="0.3">
      <c r="A90" s="255"/>
      <c r="B90" s="255"/>
      <c r="C90" s="72"/>
      <c r="D90" s="72"/>
      <c r="E90" s="258"/>
      <c r="F90" s="72"/>
      <c r="G90" s="235"/>
    </row>
    <row r="91" spans="1:7" s="15" customFormat="1" ht="54.75" customHeight="1" thickBot="1" x14ac:dyDescent="0.3">
      <c r="A91" s="255">
        <v>13</v>
      </c>
      <c r="B91" s="255">
        <v>3.2</v>
      </c>
      <c r="C91" s="275" t="s">
        <v>739</v>
      </c>
      <c r="D91" s="276"/>
      <c r="E91" s="265"/>
      <c r="F91" s="72"/>
      <c r="G91" s="99" t="str">
        <f>D92&amp;" = "&amp;TEXT(E92,"0.00%")&amp;"."&amp;" "&amp;D93&amp;" = "&amp;TEXT(E93,"0.00%")&amp;"."</f>
        <v>Rata-rata persentase kelulusan tepat waktu = 50.00%. Rata-rata persentase lulusan dengan IPK ≥ 3.0 = 30.00%.</v>
      </c>
    </row>
    <row r="92" spans="1:7" s="15" customFormat="1" x14ac:dyDescent="0.25">
      <c r="A92" s="255"/>
      <c r="B92" s="255"/>
      <c r="C92" s="313" t="s">
        <v>790</v>
      </c>
      <c r="D92" s="315" t="s">
        <v>792</v>
      </c>
      <c r="E92" s="311">
        <v>0.5</v>
      </c>
      <c r="F92" s="72"/>
      <c r="G92" s="651"/>
    </row>
    <row r="93" spans="1:7" s="15" customFormat="1" ht="15.75" thickBot="1" x14ac:dyDescent="0.3">
      <c r="A93" s="255"/>
      <c r="B93" s="255"/>
      <c r="C93" s="313" t="s">
        <v>791</v>
      </c>
      <c r="D93" s="315" t="s">
        <v>793</v>
      </c>
      <c r="E93" s="311">
        <v>0.3</v>
      </c>
      <c r="F93" s="72"/>
      <c r="G93" s="652"/>
    </row>
    <row r="94" spans="1:7" s="15" customFormat="1" x14ac:dyDescent="0.25">
      <c r="A94" s="255"/>
      <c r="B94" s="255"/>
      <c r="C94" s="312" t="s">
        <v>230</v>
      </c>
      <c r="D94" s="315"/>
      <c r="E94" s="268">
        <f>IF(E92&lt;10%,0,IF(E92&lt;70%,(10*E92+1)/2,IF(E92&lt;=100%,4,"Salah isi")))</f>
        <v>3</v>
      </c>
      <c r="F94" s="72"/>
      <c r="G94" s="72"/>
    </row>
    <row r="95" spans="1:7" s="15" customFormat="1" x14ac:dyDescent="0.25">
      <c r="A95" s="255"/>
      <c r="B95" s="255"/>
      <c r="C95" s="312" t="s">
        <v>231</v>
      </c>
      <c r="D95" s="315"/>
      <c r="E95" s="268">
        <f>IF(E93&lt;0,"Salah isi", IF(E93=0,2,IF(E93&lt;50%, 2+4*E93,IF(E93&lt;=100%,4,"Salah isi"))))</f>
        <v>3.2</v>
      </c>
      <c r="F95" s="72"/>
      <c r="G95" s="72"/>
    </row>
    <row r="96" spans="1:7" x14ac:dyDescent="0.25">
      <c r="A96" s="289"/>
      <c r="B96" s="289"/>
      <c r="C96" s="316" t="s">
        <v>219</v>
      </c>
      <c r="D96" s="101"/>
      <c r="E96" s="267">
        <f>(E94+E95)/2</f>
        <v>3.1</v>
      </c>
      <c r="F96" s="72"/>
      <c r="G96" s="235"/>
    </row>
    <row r="97" spans="1:17" ht="15.75" thickBot="1" x14ac:dyDescent="0.3">
      <c r="A97" s="255"/>
      <c r="B97" s="255"/>
      <c r="C97" s="737" t="s">
        <v>103</v>
      </c>
      <c r="D97" s="738"/>
      <c r="E97" s="263">
        <f>E96</f>
        <v>3.1</v>
      </c>
      <c r="F97" s="72"/>
      <c r="G97" s="235"/>
    </row>
    <row r="98" spans="1:17" s="15" customFormat="1" ht="15.75" thickBot="1" x14ac:dyDescent="0.3">
      <c r="A98" s="255"/>
      <c r="B98" s="255"/>
      <c r="C98" s="70"/>
      <c r="D98" s="70"/>
      <c r="E98" s="264"/>
      <c r="F98" s="72"/>
      <c r="G98" s="235"/>
    </row>
    <row r="99" spans="1:17" s="15" customFormat="1" ht="84.75" customHeight="1" thickBot="1" x14ac:dyDescent="0.3">
      <c r="A99" s="255">
        <v>14</v>
      </c>
      <c r="B99" s="255">
        <v>3.3</v>
      </c>
      <c r="C99" s="733" t="s">
        <v>73</v>
      </c>
      <c r="D99" s="734"/>
      <c r="E99" s="261">
        <v>4</v>
      </c>
      <c r="F99" s="72"/>
      <c r="G99" s="223" t="s">
        <v>282</v>
      </c>
      <c r="I99" s="241"/>
    </row>
    <row r="100" spans="1:17" s="15" customFormat="1" ht="18.75" customHeight="1" x14ac:dyDescent="0.25">
      <c r="A100" s="255"/>
      <c r="B100" s="255"/>
      <c r="C100" s="217">
        <v>0</v>
      </c>
      <c r="D100" s="314" t="s">
        <v>350</v>
      </c>
      <c r="E100" s="303"/>
      <c r="F100" s="72"/>
      <c r="G100" s="235"/>
    </row>
    <row r="101" spans="1:17" s="15" customFormat="1" ht="29.25" customHeight="1" x14ac:dyDescent="0.25">
      <c r="A101" s="255"/>
      <c r="B101" s="255"/>
      <c r="C101" s="217">
        <v>1</v>
      </c>
      <c r="D101" s="314" t="s">
        <v>794</v>
      </c>
      <c r="E101" s="303"/>
      <c r="F101" s="72"/>
      <c r="G101" s="235"/>
    </row>
    <row r="102" spans="1:17" s="15" customFormat="1" ht="29.25" customHeight="1" x14ac:dyDescent="0.25">
      <c r="A102" s="255"/>
      <c r="B102" s="255"/>
      <c r="C102" s="217">
        <v>2</v>
      </c>
      <c r="D102" s="314" t="s">
        <v>795</v>
      </c>
      <c r="E102" s="303"/>
      <c r="F102" s="72"/>
      <c r="G102" s="235"/>
    </row>
    <row r="103" spans="1:17" s="15" customFormat="1" ht="29.25" customHeight="1" x14ac:dyDescent="0.25">
      <c r="A103" s="255"/>
      <c r="B103" s="255"/>
      <c r="C103" s="217">
        <v>3</v>
      </c>
      <c r="D103" s="314" t="s">
        <v>796</v>
      </c>
      <c r="E103" s="303"/>
      <c r="F103" s="72"/>
      <c r="G103" s="235"/>
    </row>
    <row r="104" spans="1:17" s="15" customFormat="1" ht="29.25" customHeight="1" x14ac:dyDescent="0.25">
      <c r="A104" s="255"/>
      <c r="B104" s="255"/>
      <c r="C104" s="217">
        <v>4</v>
      </c>
      <c r="D104" s="314" t="s">
        <v>797</v>
      </c>
      <c r="E104" s="303"/>
      <c r="F104" s="72"/>
      <c r="G104" s="235"/>
    </row>
    <row r="105" spans="1:17" s="15" customFormat="1" ht="15.75" thickBot="1" x14ac:dyDescent="0.3">
      <c r="A105" s="255"/>
      <c r="B105" s="255"/>
      <c r="C105" s="645" t="s">
        <v>103</v>
      </c>
      <c r="D105" s="646"/>
      <c r="E105" s="263">
        <f>E99</f>
        <v>4</v>
      </c>
      <c r="F105" s="72"/>
      <c r="G105" s="235"/>
    </row>
    <row r="106" spans="1:17" s="15" customFormat="1" ht="15.75" thickBot="1" x14ac:dyDescent="0.3">
      <c r="A106" s="255"/>
      <c r="B106" s="255"/>
      <c r="C106" s="72"/>
      <c r="D106" s="72"/>
      <c r="E106" s="258"/>
      <c r="F106" s="72"/>
      <c r="G106" s="235"/>
    </row>
    <row r="107" spans="1:17" s="15" customFormat="1" ht="39" customHeight="1" thickBot="1" x14ac:dyDescent="0.35">
      <c r="A107" s="290">
        <v>15</v>
      </c>
      <c r="B107" s="290" t="s">
        <v>175</v>
      </c>
      <c r="C107" s="661" t="s">
        <v>309</v>
      </c>
      <c r="D107" s="672"/>
      <c r="E107" s="270"/>
      <c r="F107" s="30"/>
      <c r="G107" s="99" t="str">
        <f>IF(E108=0,"Program studi tidak memiliki dosen tetap.",D110&amp;" = ("&amp;E109&amp;"/"&amp;E108&amp;") x 100% = "&amp;TEXT(E110,"0.00%."))</f>
        <v>Persentase dosen tetap berpendidikan minimal S-3/Sp. = (25/40) x 100% = 62.50%.</v>
      </c>
      <c r="H107" s="228"/>
      <c r="I107" s="30"/>
      <c r="J107" s="30"/>
      <c r="K107" s="31"/>
      <c r="L107" s="30"/>
      <c r="M107" s="8"/>
      <c r="N107" s="229"/>
      <c r="O107" s="8"/>
      <c r="P107" s="8"/>
      <c r="Q107" s="8"/>
    </row>
    <row r="108" spans="1:17" s="15" customFormat="1" ht="17.25" customHeight="1" x14ac:dyDescent="0.3">
      <c r="A108" s="255"/>
      <c r="B108" s="255"/>
      <c r="C108" s="217" t="s">
        <v>799</v>
      </c>
      <c r="D108" s="231" t="s">
        <v>798</v>
      </c>
      <c r="E108" s="304">
        <v>40</v>
      </c>
      <c r="F108" s="30"/>
      <c r="G108" s="651"/>
      <c r="H108" s="34"/>
      <c r="I108" s="30"/>
      <c r="J108" s="30"/>
      <c r="K108" s="31"/>
      <c r="L108" s="30"/>
      <c r="M108" s="8"/>
      <c r="N108" s="229"/>
      <c r="O108" s="8"/>
      <c r="P108" s="8"/>
      <c r="Q108" s="8"/>
    </row>
    <row r="109" spans="1:17" s="15" customFormat="1" ht="17.25" customHeight="1" thickBot="1" x14ac:dyDescent="0.35">
      <c r="A109" s="255"/>
      <c r="B109" s="255"/>
      <c r="C109" s="217" t="s">
        <v>651</v>
      </c>
      <c r="D109" s="231" t="s">
        <v>801</v>
      </c>
      <c r="E109" s="304">
        <v>25</v>
      </c>
      <c r="F109" s="30"/>
      <c r="G109" s="652"/>
      <c r="H109" s="34"/>
      <c r="I109" s="30"/>
      <c r="J109" s="30"/>
      <c r="K109" s="31"/>
      <c r="L109" s="30"/>
      <c r="M109" s="8"/>
      <c r="N109" s="229"/>
      <c r="O109" s="8"/>
      <c r="P109" s="8"/>
      <c r="Q109" s="8"/>
    </row>
    <row r="110" spans="1:17" s="15" customFormat="1" ht="21.75" customHeight="1" x14ac:dyDescent="0.3">
      <c r="A110" s="255"/>
      <c r="B110" s="255"/>
      <c r="C110" s="217" t="s">
        <v>800</v>
      </c>
      <c r="D110" s="231" t="s">
        <v>802</v>
      </c>
      <c r="E110" s="269">
        <f>IF(E108=0,0,E109/E108)</f>
        <v>0.625</v>
      </c>
      <c r="F110" s="224"/>
      <c r="G110" s="232"/>
      <c r="H110" s="34"/>
      <c r="I110" s="30"/>
      <c r="J110" s="30"/>
      <c r="K110" s="31"/>
      <c r="L110" s="30"/>
      <c r="M110" s="8"/>
      <c r="N110" s="229"/>
      <c r="O110" s="8"/>
      <c r="P110" s="8"/>
      <c r="Q110" s="8"/>
    </row>
    <row r="111" spans="1:17" s="15" customFormat="1" ht="19.5" thickBot="1" x14ac:dyDescent="0.35">
      <c r="A111" s="255"/>
      <c r="B111" s="255"/>
      <c r="C111" s="653" t="s">
        <v>103</v>
      </c>
      <c r="D111" s="654"/>
      <c r="E111" s="263">
        <f>IF(E110&lt;0, "Salah isi", IF(E110&lt;60%, 2+(10*E110)/3, IF(E110&lt;=100%, 4, "Salah isi")))</f>
        <v>4</v>
      </c>
      <c r="F111" s="30"/>
      <c r="G111" s="93"/>
      <c r="H111" s="34"/>
      <c r="I111" s="30"/>
      <c r="J111" s="30"/>
      <c r="K111" s="31"/>
      <c r="L111" s="30"/>
      <c r="M111" s="8"/>
      <c r="N111" s="229"/>
      <c r="O111" s="8"/>
      <c r="P111" s="8"/>
      <c r="Q111" s="8"/>
    </row>
    <row r="112" spans="1:17" s="15" customFormat="1" ht="15.75" thickBot="1" x14ac:dyDescent="0.3">
      <c r="A112" s="255"/>
      <c r="B112" s="255"/>
      <c r="C112" s="72"/>
      <c r="D112" s="72"/>
      <c r="E112" s="258"/>
      <c r="F112" s="72"/>
      <c r="G112" s="235"/>
    </row>
    <row r="113" spans="1:17" s="15" customFormat="1" ht="39" customHeight="1" thickBot="1" x14ac:dyDescent="0.35">
      <c r="A113" s="290">
        <v>16</v>
      </c>
      <c r="B113" s="290" t="s">
        <v>176</v>
      </c>
      <c r="C113" s="661" t="s">
        <v>221</v>
      </c>
      <c r="D113" s="672"/>
      <c r="E113" s="270"/>
      <c r="F113" s="30"/>
      <c r="G113" s="99" t="str">
        <f>IF(E114=0,"Program studi tidak memiliki dosen tetap.",D116&amp;" = ("&amp;E115&amp;"/"&amp;E114&amp;") x 100% = "&amp;TEXT(E116,"0.00%."))</f>
        <v>Persentase dosen tetap yang memiliki jabatan minimal lektor kepala = (15/40) x 100% = 37.50%.</v>
      </c>
      <c r="H113" s="228"/>
      <c r="I113" s="30"/>
      <c r="J113" s="30"/>
      <c r="K113" s="31"/>
      <c r="L113" s="30"/>
      <c r="M113" s="8"/>
      <c r="N113" s="229"/>
      <c r="O113" s="8"/>
      <c r="P113" s="8"/>
      <c r="Q113" s="8"/>
    </row>
    <row r="114" spans="1:17" s="15" customFormat="1" ht="17.25" customHeight="1" x14ac:dyDescent="0.3">
      <c r="A114" s="255"/>
      <c r="B114" s="255"/>
      <c r="C114" s="217" t="s">
        <v>799</v>
      </c>
      <c r="D114" s="231" t="s">
        <v>798</v>
      </c>
      <c r="E114" s="304">
        <v>40</v>
      </c>
      <c r="F114" s="30"/>
      <c r="G114" s="651"/>
      <c r="H114" s="34"/>
      <c r="I114" s="30"/>
      <c r="J114" s="30"/>
      <c r="K114" s="31"/>
      <c r="L114" s="30"/>
      <c r="M114" s="8"/>
      <c r="N114" s="229"/>
      <c r="O114" s="8"/>
      <c r="P114" s="8"/>
      <c r="Q114" s="8"/>
    </row>
    <row r="115" spans="1:17" s="15" customFormat="1" ht="30.75" customHeight="1" thickBot="1" x14ac:dyDescent="0.35">
      <c r="A115" s="255"/>
      <c r="B115" s="255"/>
      <c r="C115" s="217" t="s">
        <v>651</v>
      </c>
      <c r="D115" s="231" t="s">
        <v>803</v>
      </c>
      <c r="E115" s="304">
        <v>15</v>
      </c>
      <c r="F115" s="30"/>
      <c r="G115" s="652"/>
      <c r="H115" s="34"/>
      <c r="I115" s="30"/>
      <c r="J115" s="30"/>
      <c r="K115" s="31"/>
      <c r="L115" s="30"/>
      <c r="M115" s="8"/>
      <c r="N115" s="229"/>
      <c r="O115" s="8"/>
      <c r="P115" s="8"/>
      <c r="Q115" s="8"/>
    </row>
    <row r="116" spans="1:17" s="15" customFormat="1" ht="29.25" customHeight="1" x14ac:dyDescent="0.3">
      <c r="A116" s="255"/>
      <c r="B116" s="255"/>
      <c r="C116" s="217" t="s">
        <v>800</v>
      </c>
      <c r="D116" s="231" t="s">
        <v>804</v>
      </c>
      <c r="E116" s="269">
        <f>IF(E114=0,0,E115/E114)</f>
        <v>0.375</v>
      </c>
      <c r="F116" s="224"/>
      <c r="G116" s="232"/>
      <c r="H116" s="34"/>
      <c r="I116" s="30"/>
      <c r="J116" s="30"/>
      <c r="K116" s="31"/>
      <c r="L116" s="30"/>
      <c r="M116" s="8"/>
      <c r="N116" s="229"/>
      <c r="O116" s="8"/>
      <c r="P116" s="8"/>
      <c r="Q116" s="8"/>
    </row>
    <row r="117" spans="1:17" s="15" customFormat="1" ht="19.5" thickBot="1" x14ac:dyDescent="0.35">
      <c r="A117" s="255"/>
      <c r="B117" s="255"/>
      <c r="C117" s="653" t="s">
        <v>103</v>
      </c>
      <c r="D117" s="654"/>
      <c r="E117" s="263">
        <f>IF(E116&lt;0, "Salah isi", IF(E116=0, 0,IF(E116&lt;30%, 1 + (10*E116), IF(E116&lt;=100%, 4, "Salah isi"))))</f>
        <v>4</v>
      </c>
      <c r="F117" s="30"/>
      <c r="G117" s="93"/>
      <c r="H117" s="34"/>
      <c r="I117" s="30"/>
      <c r="J117" s="30"/>
      <c r="K117" s="31"/>
      <c r="L117" s="30"/>
      <c r="M117" s="8"/>
      <c r="N117" s="229"/>
      <c r="O117" s="8"/>
      <c r="P117" s="8"/>
      <c r="Q117" s="8"/>
    </row>
    <row r="118" spans="1:17" s="15" customFormat="1" ht="15.75" thickBot="1" x14ac:dyDescent="0.3">
      <c r="A118" s="255"/>
      <c r="B118" s="255"/>
      <c r="C118" s="72"/>
      <c r="D118" s="72"/>
      <c r="E118" s="258"/>
      <c r="F118" s="72"/>
      <c r="G118" s="235"/>
    </row>
    <row r="119" spans="1:17" s="15" customFormat="1" ht="39" customHeight="1" thickBot="1" x14ac:dyDescent="0.35">
      <c r="A119" s="290">
        <v>17</v>
      </c>
      <c r="B119" s="290" t="s">
        <v>178</v>
      </c>
      <c r="C119" s="661" t="s">
        <v>179</v>
      </c>
      <c r="D119" s="672"/>
      <c r="E119" s="270"/>
      <c r="F119" s="30"/>
      <c r="G119" s="99" t="str">
        <f>IF(E120=0,"Program studi tidak memiliki dosen tetap.",D122&amp;" = ("&amp;E121&amp;"/"&amp;E120&amp;") x 100% = "&amp;TEXT(E122,"0.00%."))</f>
        <v>Persentase dosen tetap yang memiliki jabatan guru besar = (10/40) x 100% = 25.00%.</v>
      </c>
      <c r="H119" s="228"/>
      <c r="I119" s="30"/>
      <c r="J119" s="30"/>
      <c r="K119" s="31"/>
      <c r="L119" s="30"/>
      <c r="M119" s="8"/>
      <c r="N119" s="229"/>
      <c r="O119" s="8"/>
      <c r="P119" s="8"/>
      <c r="Q119" s="8"/>
    </row>
    <row r="120" spans="1:17" s="15" customFormat="1" ht="18.75" x14ac:dyDescent="0.3">
      <c r="A120" s="255"/>
      <c r="B120" s="255"/>
      <c r="C120" s="217" t="s">
        <v>799</v>
      </c>
      <c r="D120" s="231" t="s">
        <v>798</v>
      </c>
      <c r="E120" s="304">
        <v>40</v>
      </c>
      <c r="F120" s="30"/>
      <c r="G120" s="651"/>
      <c r="H120" s="34"/>
      <c r="I120" s="30"/>
      <c r="J120" s="30"/>
      <c r="K120" s="31"/>
      <c r="L120" s="30"/>
      <c r="M120" s="8"/>
      <c r="N120" s="229"/>
      <c r="O120" s="8"/>
      <c r="P120" s="8"/>
      <c r="Q120" s="8"/>
    </row>
    <row r="121" spans="1:17" s="15" customFormat="1" ht="19.5" thickBot="1" x14ac:dyDescent="0.35">
      <c r="A121" s="255"/>
      <c r="B121" s="255"/>
      <c r="C121" s="217" t="s">
        <v>651</v>
      </c>
      <c r="D121" s="231" t="s">
        <v>805</v>
      </c>
      <c r="E121" s="304">
        <v>10</v>
      </c>
      <c r="F121" s="30"/>
      <c r="G121" s="652"/>
      <c r="H121" s="34"/>
      <c r="I121" s="30"/>
      <c r="J121" s="30"/>
      <c r="K121" s="31"/>
      <c r="L121" s="30"/>
      <c r="M121" s="8"/>
      <c r="N121" s="229"/>
      <c r="O121" s="8"/>
      <c r="P121" s="8"/>
      <c r="Q121" s="8"/>
    </row>
    <row r="122" spans="1:17" s="15" customFormat="1" ht="18.75" x14ac:dyDescent="0.3">
      <c r="A122" s="255"/>
      <c r="B122" s="255"/>
      <c r="C122" s="217" t="s">
        <v>800</v>
      </c>
      <c r="D122" s="231" t="s">
        <v>806</v>
      </c>
      <c r="E122" s="269">
        <f>IF(E120=0,0,E121/E120)</f>
        <v>0.25</v>
      </c>
      <c r="F122" s="224"/>
      <c r="G122" s="232"/>
      <c r="H122" s="34"/>
      <c r="I122" s="30"/>
      <c r="J122" s="30"/>
      <c r="K122" s="31"/>
      <c r="L122" s="30"/>
      <c r="M122" s="8"/>
      <c r="N122" s="229"/>
      <c r="O122" s="8"/>
      <c r="P122" s="8"/>
      <c r="Q122" s="8"/>
    </row>
    <row r="123" spans="1:17" s="15" customFormat="1" ht="19.5" thickBot="1" x14ac:dyDescent="0.35">
      <c r="A123" s="255"/>
      <c r="B123" s="255"/>
      <c r="C123" s="653" t="s">
        <v>103</v>
      </c>
      <c r="D123" s="654"/>
      <c r="E123" s="263">
        <f>IF(E122&lt;0, "Salah isi", IF(E122=0,2,IF(E122&lt;20%, 2+(10*E122), IF(E122&lt;=100%, 4, "Salah isi"))))</f>
        <v>4</v>
      </c>
      <c r="F123" s="30"/>
      <c r="G123" s="93"/>
      <c r="H123" s="34"/>
      <c r="I123" s="30"/>
      <c r="J123" s="30"/>
      <c r="K123" s="31"/>
      <c r="L123" s="30"/>
      <c r="M123" s="8"/>
      <c r="N123" s="229"/>
      <c r="O123" s="8"/>
      <c r="P123" s="8"/>
      <c r="Q123" s="8"/>
    </row>
    <row r="124" spans="1:17" s="15" customFormat="1" ht="15.75" thickBot="1" x14ac:dyDescent="0.3">
      <c r="A124" s="255"/>
      <c r="B124" s="255"/>
      <c r="C124" s="72"/>
      <c r="D124" s="72"/>
      <c r="E124" s="258"/>
      <c r="F124" s="72"/>
      <c r="G124" s="235"/>
    </row>
    <row r="125" spans="1:17" s="15" customFormat="1" ht="93" customHeight="1" thickBot="1" x14ac:dyDescent="0.3">
      <c r="A125" s="255">
        <v>18</v>
      </c>
      <c r="B125" s="255" t="s">
        <v>180</v>
      </c>
      <c r="C125" s="659" t="s">
        <v>811</v>
      </c>
      <c r="D125" s="660"/>
      <c r="E125" s="261">
        <v>4</v>
      </c>
      <c r="F125" s="72"/>
      <c r="G125" s="223" t="s">
        <v>283</v>
      </c>
    </row>
    <row r="126" spans="1:17" s="15" customFormat="1" ht="45" customHeight="1" x14ac:dyDescent="0.25">
      <c r="A126" s="255"/>
      <c r="B126" s="255"/>
      <c r="C126" s="217">
        <v>1</v>
      </c>
      <c r="D126" s="100" t="s">
        <v>807</v>
      </c>
      <c r="E126" s="303"/>
      <c r="F126" s="72"/>
      <c r="G126" s="235"/>
    </row>
    <row r="127" spans="1:17" s="15" customFormat="1" ht="45" customHeight="1" x14ac:dyDescent="0.25">
      <c r="A127" s="255"/>
      <c r="B127" s="255"/>
      <c r="C127" s="217">
        <v>2</v>
      </c>
      <c r="D127" s="100" t="s">
        <v>808</v>
      </c>
      <c r="E127" s="303"/>
      <c r="F127" s="72"/>
      <c r="G127" s="235"/>
    </row>
    <row r="128" spans="1:17" s="15" customFormat="1" ht="45" customHeight="1" x14ac:dyDescent="0.25">
      <c r="A128" s="255"/>
      <c r="B128" s="255"/>
      <c r="C128" s="217">
        <v>3</v>
      </c>
      <c r="D128" s="100" t="s">
        <v>809</v>
      </c>
      <c r="E128" s="303"/>
      <c r="F128" s="72"/>
      <c r="G128" s="235"/>
    </row>
    <row r="129" spans="1:7" s="15" customFormat="1" ht="45" customHeight="1" x14ac:dyDescent="0.25">
      <c r="A129" s="255"/>
      <c r="B129" s="255"/>
      <c r="C129" s="217">
        <v>4</v>
      </c>
      <c r="D129" s="100" t="s">
        <v>810</v>
      </c>
      <c r="E129" s="303"/>
      <c r="F129" s="72"/>
      <c r="G129" s="235"/>
    </row>
    <row r="130" spans="1:7" s="15" customFormat="1" ht="15.75" thickBot="1" x14ac:dyDescent="0.3">
      <c r="A130" s="255"/>
      <c r="B130" s="255"/>
      <c r="C130" s="723" t="s">
        <v>103</v>
      </c>
      <c r="D130" s="724"/>
      <c r="E130" s="263">
        <f>E125</f>
        <v>4</v>
      </c>
      <c r="F130" s="72"/>
      <c r="G130" s="235"/>
    </row>
    <row r="131" spans="1:7" s="15" customFormat="1" ht="15.75" thickBot="1" x14ac:dyDescent="0.3">
      <c r="A131" s="255"/>
      <c r="B131" s="255"/>
      <c r="C131" s="72"/>
      <c r="D131" s="72"/>
      <c r="E131" s="258"/>
      <c r="F131" s="72"/>
      <c r="G131" s="235"/>
    </row>
    <row r="132" spans="1:7" s="15" customFormat="1" ht="83.25" customHeight="1" thickBot="1" x14ac:dyDescent="0.3">
      <c r="A132" s="255">
        <v>19</v>
      </c>
      <c r="B132" s="255" t="s">
        <v>181</v>
      </c>
      <c r="C132" s="659" t="s">
        <v>812</v>
      </c>
      <c r="D132" s="660"/>
      <c r="E132" s="261">
        <v>4</v>
      </c>
      <c r="F132" s="72"/>
      <c r="G132" s="223" t="s">
        <v>284</v>
      </c>
    </row>
    <row r="133" spans="1:7" s="15" customFormat="1" ht="19.5" customHeight="1" x14ac:dyDescent="0.25">
      <c r="A133" s="255"/>
      <c r="B133" s="255"/>
      <c r="C133" s="217">
        <v>0</v>
      </c>
      <c r="D133" s="213" t="s">
        <v>813</v>
      </c>
      <c r="E133" s="303"/>
      <c r="F133" s="72"/>
      <c r="G133" s="235"/>
    </row>
    <row r="134" spans="1:7" s="15" customFormat="1" ht="32.25" customHeight="1" x14ac:dyDescent="0.25">
      <c r="A134" s="255"/>
      <c r="B134" s="255"/>
      <c r="C134" s="217">
        <v>1</v>
      </c>
      <c r="D134" s="100" t="s">
        <v>814</v>
      </c>
      <c r="E134" s="303"/>
      <c r="F134" s="72"/>
      <c r="G134" s="235"/>
    </row>
    <row r="135" spans="1:7" s="15" customFormat="1" ht="32.25" customHeight="1" x14ac:dyDescent="0.25">
      <c r="A135" s="255"/>
      <c r="B135" s="255"/>
      <c r="C135" s="217">
        <v>2</v>
      </c>
      <c r="D135" s="100" t="s">
        <v>815</v>
      </c>
      <c r="E135" s="303"/>
      <c r="F135" s="72"/>
      <c r="G135" s="235"/>
    </row>
    <row r="136" spans="1:7" s="15" customFormat="1" ht="32.25" customHeight="1" x14ac:dyDescent="0.25">
      <c r="A136" s="255"/>
      <c r="B136" s="255"/>
      <c r="C136" s="217">
        <v>3</v>
      </c>
      <c r="D136" s="100" t="s">
        <v>816</v>
      </c>
      <c r="E136" s="303"/>
      <c r="F136" s="72"/>
      <c r="G136" s="235"/>
    </row>
    <row r="137" spans="1:7" s="15" customFormat="1" ht="32.25" customHeight="1" x14ac:dyDescent="0.25">
      <c r="A137" s="255"/>
      <c r="B137" s="255"/>
      <c r="C137" s="217">
        <v>4</v>
      </c>
      <c r="D137" s="100" t="s">
        <v>817</v>
      </c>
      <c r="E137" s="303"/>
      <c r="F137" s="72"/>
      <c r="G137" s="235"/>
    </row>
    <row r="138" spans="1:7" s="15" customFormat="1" ht="15.75" thickBot="1" x14ac:dyDescent="0.3">
      <c r="A138" s="255"/>
      <c r="B138" s="255"/>
      <c r="C138" s="723" t="s">
        <v>103</v>
      </c>
      <c r="D138" s="724"/>
      <c r="E138" s="263">
        <f>E132</f>
        <v>4</v>
      </c>
      <c r="F138" s="72"/>
      <c r="G138" s="235"/>
    </row>
    <row r="139" spans="1:7" s="15" customFormat="1" ht="15.75" thickBot="1" x14ac:dyDescent="0.3">
      <c r="A139" s="255"/>
      <c r="B139" s="255"/>
      <c r="C139" s="72"/>
      <c r="D139" s="72"/>
      <c r="E139" s="258"/>
      <c r="F139" s="72"/>
      <c r="G139" s="235"/>
    </row>
    <row r="140" spans="1:7" s="15" customFormat="1" ht="120.75" customHeight="1" thickBot="1" x14ac:dyDescent="0.3">
      <c r="A140" s="255">
        <v>20</v>
      </c>
      <c r="B140" s="255" t="s">
        <v>182</v>
      </c>
      <c r="C140" s="659" t="s">
        <v>818</v>
      </c>
      <c r="D140" s="660"/>
      <c r="E140" s="261">
        <v>4</v>
      </c>
      <c r="F140" s="72"/>
      <c r="G140" s="223" t="s">
        <v>285</v>
      </c>
    </row>
    <row r="141" spans="1:7" s="15" customFormat="1" ht="19.5" customHeight="1" x14ac:dyDescent="0.25">
      <c r="A141" s="255"/>
      <c r="B141" s="255"/>
      <c r="C141" s="217">
        <v>0</v>
      </c>
      <c r="D141" s="213" t="s">
        <v>819</v>
      </c>
      <c r="E141" s="303"/>
      <c r="F141" s="72"/>
      <c r="G141" s="235"/>
    </row>
    <row r="142" spans="1:7" s="15" customFormat="1" ht="32.25" customHeight="1" x14ac:dyDescent="0.25">
      <c r="A142" s="255"/>
      <c r="B142" s="255"/>
      <c r="C142" s="217">
        <v>1</v>
      </c>
      <c r="D142" s="100" t="s">
        <v>820</v>
      </c>
      <c r="E142" s="303"/>
      <c r="F142" s="72"/>
      <c r="G142" s="235"/>
    </row>
    <row r="143" spans="1:7" s="15" customFormat="1" ht="32.25" customHeight="1" x14ac:dyDescent="0.25">
      <c r="A143" s="255"/>
      <c r="B143" s="255"/>
      <c r="C143" s="217">
        <v>2</v>
      </c>
      <c r="D143" s="100" t="s">
        <v>821</v>
      </c>
      <c r="E143" s="303"/>
      <c r="F143" s="72"/>
      <c r="G143" s="235"/>
    </row>
    <row r="144" spans="1:7" s="15" customFormat="1" ht="32.25" customHeight="1" x14ac:dyDescent="0.25">
      <c r="A144" s="255"/>
      <c r="B144" s="255"/>
      <c r="C144" s="217">
        <v>3</v>
      </c>
      <c r="D144" s="100" t="s">
        <v>822</v>
      </c>
      <c r="E144" s="303"/>
      <c r="F144" s="72"/>
      <c r="G144" s="235"/>
    </row>
    <row r="145" spans="1:7" s="15" customFormat="1" ht="45.75" customHeight="1" x14ac:dyDescent="0.25">
      <c r="A145" s="255"/>
      <c r="B145" s="255"/>
      <c r="C145" s="217">
        <v>4</v>
      </c>
      <c r="D145" s="100" t="s">
        <v>823</v>
      </c>
      <c r="E145" s="303"/>
      <c r="F145" s="72"/>
      <c r="G145" s="235"/>
    </row>
    <row r="146" spans="1:7" s="15" customFormat="1" ht="15.75" thickBot="1" x14ac:dyDescent="0.3">
      <c r="A146" s="255"/>
      <c r="B146" s="255"/>
      <c r="C146" s="723" t="s">
        <v>103</v>
      </c>
      <c r="D146" s="724"/>
      <c r="E146" s="263">
        <f>E140</f>
        <v>4</v>
      </c>
      <c r="F146" s="72"/>
      <c r="G146" s="235"/>
    </row>
    <row r="147" spans="1:7" s="15" customFormat="1" ht="15.75" thickBot="1" x14ac:dyDescent="0.3">
      <c r="A147" s="255"/>
      <c r="B147" s="255"/>
      <c r="C147" s="72"/>
      <c r="D147" s="72"/>
      <c r="E147" s="258"/>
      <c r="F147" s="72"/>
      <c r="G147" s="235"/>
    </row>
    <row r="148" spans="1:7" s="15" customFormat="1" ht="71.25" customHeight="1" thickBot="1" x14ac:dyDescent="0.3">
      <c r="A148" s="255">
        <v>21</v>
      </c>
      <c r="B148" s="255" t="s">
        <v>76</v>
      </c>
      <c r="C148" s="659" t="s">
        <v>916</v>
      </c>
      <c r="D148" s="660"/>
      <c r="E148" s="261">
        <v>4</v>
      </c>
      <c r="F148" s="72"/>
      <c r="G148" s="223" t="s">
        <v>286</v>
      </c>
    </row>
    <row r="149" spans="1:7" s="15" customFormat="1" ht="30" customHeight="1" x14ac:dyDescent="0.25">
      <c r="A149" s="255"/>
      <c r="B149" s="255"/>
      <c r="C149" s="217">
        <v>0</v>
      </c>
      <c r="D149" s="220" t="s">
        <v>824</v>
      </c>
      <c r="E149" s="303"/>
      <c r="F149" s="72"/>
      <c r="G149" s="235"/>
    </row>
    <row r="150" spans="1:7" s="15" customFormat="1" ht="44.25" customHeight="1" x14ac:dyDescent="0.25">
      <c r="A150" s="255"/>
      <c r="B150" s="255"/>
      <c r="C150" s="217">
        <v>1</v>
      </c>
      <c r="D150" s="220" t="s">
        <v>825</v>
      </c>
      <c r="E150" s="303"/>
      <c r="F150" s="72"/>
      <c r="G150" s="235"/>
    </row>
    <row r="151" spans="1:7" s="15" customFormat="1" ht="44.25" customHeight="1" x14ac:dyDescent="0.25">
      <c r="A151" s="255"/>
      <c r="B151" s="255"/>
      <c r="C151" s="217">
        <v>2</v>
      </c>
      <c r="D151" s="220" t="s">
        <v>826</v>
      </c>
      <c r="E151" s="303"/>
      <c r="F151" s="72"/>
      <c r="G151" s="235"/>
    </row>
    <row r="152" spans="1:7" s="15" customFormat="1" ht="44.25" customHeight="1" x14ac:dyDescent="0.25">
      <c r="A152" s="255"/>
      <c r="B152" s="255"/>
      <c r="C152" s="217">
        <v>3</v>
      </c>
      <c r="D152" s="220" t="s">
        <v>827</v>
      </c>
      <c r="E152" s="303"/>
      <c r="F152" s="72"/>
      <c r="G152" s="235"/>
    </row>
    <row r="153" spans="1:7" s="15" customFormat="1" ht="44.25" customHeight="1" x14ac:dyDescent="0.25">
      <c r="A153" s="255"/>
      <c r="B153" s="255"/>
      <c r="C153" s="217">
        <v>4</v>
      </c>
      <c r="D153" s="220" t="s">
        <v>828</v>
      </c>
      <c r="E153" s="303"/>
      <c r="F153" s="72"/>
      <c r="G153" s="235"/>
    </row>
    <row r="154" spans="1:7" s="15" customFormat="1" ht="15.75" thickBot="1" x14ac:dyDescent="0.3">
      <c r="A154" s="255"/>
      <c r="B154" s="255"/>
      <c r="C154" s="723" t="s">
        <v>103</v>
      </c>
      <c r="D154" s="724"/>
      <c r="E154" s="263">
        <f>E148</f>
        <v>4</v>
      </c>
      <c r="F154" s="72"/>
      <c r="G154" s="235"/>
    </row>
    <row r="155" spans="1:7" s="15" customFormat="1" ht="15.75" thickBot="1" x14ac:dyDescent="0.3">
      <c r="A155" s="255"/>
      <c r="B155" s="255"/>
      <c r="C155" s="278"/>
      <c r="D155" s="278"/>
      <c r="E155" s="264"/>
      <c r="F155" s="72"/>
      <c r="G155" s="235"/>
    </row>
    <row r="156" spans="1:7" s="15" customFormat="1" ht="73.5" customHeight="1" thickBot="1" x14ac:dyDescent="0.3">
      <c r="A156" s="255">
        <v>22</v>
      </c>
      <c r="B156" s="255" t="s">
        <v>136</v>
      </c>
      <c r="C156" s="725" t="s">
        <v>78</v>
      </c>
      <c r="D156" s="726"/>
      <c r="E156" s="261">
        <v>4</v>
      </c>
      <c r="F156" s="72"/>
      <c r="G156" s="223" t="s">
        <v>287</v>
      </c>
    </row>
    <row r="157" spans="1:7" s="15" customFormat="1" ht="27.75" customHeight="1" x14ac:dyDescent="0.25">
      <c r="A157" s="255"/>
      <c r="B157" s="255"/>
      <c r="C157" s="217">
        <v>1</v>
      </c>
      <c r="D157" s="213" t="s">
        <v>829</v>
      </c>
      <c r="E157" s="303"/>
      <c r="F157" s="72"/>
      <c r="G157" s="235"/>
    </row>
    <row r="158" spans="1:7" s="15" customFormat="1" ht="40.5" customHeight="1" x14ac:dyDescent="0.25">
      <c r="A158" s="255"/>
      <c r="B158" s="255"/>
      <c r="C158" s="217">
        <v>2</v>
      </c>
      <c r="D158" s="213" t="s">
        <v>830</v>
      </c>
      <c r="E158" s="303"/>
      <c r="F158" s="72"/>
      <c r="G158" s="235"/>
    </row>
    <row r="159" spans="1:7" s="15" customFormat="1" ht="40.5" customHeight="1" x14ac:dyDescent="0.25">
      <c r="A159" s="255"/>
      <c r="B159" s="255"/>
      <c r="C159" s="217">
        <v>3</v>
      </c>
      <c r="D159" s="213" t="s">
        <v>831</v>
      </c>
      <c r="E159" s="303"/>
      <c r="F159" s="72"/>
      <c r="G159" s="235"/>
    </row>
    <row r="160" spans="1:7" s="15" customFormat="1" ht="40.5" customHeight="1" x14ac:dyDescent="0.25">
      <c r="A160" s="255"/>
      <c r="B160" s="255"/>
      <c r="C160" s="217">
        <v>4</v>
      </c>
      <c r="D160" s="213" t="s">
        <v>832</v>
      </c>
      <c r="E160" s="303"/>
      <c r="F160" s="72"/>
      <c r="G160" s="235"/>
    </row>
    <row r="161" spans="1:7" s="15" customFormat="1" ht="15.75" thickBot="1" x14ac:dyDescent="0.3">
      <c r="A161" s="255"/>
      <c r="B161" s="255"/>
      <c r="C161" s="645" t="s">
        <v>103</v>
      </c>
      <c r="D161" s="646"/>
      <c r="E161" s="263">
        <f>E156</f>
        <v>4</v>
      </c>
      <c r="F161" s="72"/>
      <c r="G161" s="235"/>
    </row>
    <row r="162" spans="1:7" s="15" customFormat="1" ht="15.75" thickBot="1" x14ac:dyDescent="0.3">
      <c r="A162" s="255"/>
      <c r="B162" s="255"/>
      <c r="C162" s="72"/>
      <c r="D162" s="72"/>
      <c r="E162" s="258"/>
      <c r="F162" s="72"/>
      <c r="G162" s="235"/>
    </row>
    <row r="163" spans="1:7" s="15" customFormat="1" ht="81" customHeight="1" thickBot="1" x14ac:dyDescent="0.3">
      <c r="A163" s="255">
        <v>23</v>
      </c>
      <c r="B163" s="255" t="s">
        <v>137</v>
      </c>
      <c r="C163" s="663" t="s">
        <v>740</v>
      </c>
      <c r="D163" s="664"/>
      <c r="E163" s="261">
        <v>4</v>
      </c>
      <c r="F163" s="72"/>
      <c r="G163" s="223" t="s">
        <v>288</v>
      </c>
    </row>
    <row r="164" spans="1:7" s="15" customFormat="1" ht="18" customHeight="1" x14ac:dyDescent="0.25">
      <c r="A164" s="255"/>
      <c r="B164" s="255"/>
      <c r="C164" s="217">
        <v>0</v>
      </c>
      <c r="D164" s="280" t="s">
        <v>833</v>
      </c>
      <c r="E164" s="303"/>
      <c r="F164" s="72"/>
      <c r="G164" s="235"/>
    </row>
    <row r="165" spans="1:7" s="15" customFormat="1" ht="18" customHeight="1" x14ac:dyDescent="0.25">
      <c r="A165" s="255"/>
      <c r="B165" s="255"/>
      <c r="C165" s="217">
        <v>1</v>
      </c>
      <c r="D165" s="280" t="s">
        <v>834</v>
      </c>
      <c r="E165" s="303"/>
      <c r="F165" s="72"/>
      <c r="G165" s="235"/>
    </row>
    <row r="166" spans="1:7" s="15" customFormat="1" ht="27.75" customHeight="1" x14ac:dyDescent="0.25">
      <c r="A166" s="255"/>
      <c r="B166" s="255"/>
      <c r="C166" s="217">
        <v>2</v>
      </c>
      <c r="D166" s="280" t="s">
        <v>835</v>
      </c>
      <c r="E166" s="303"/>
      <c r="F166" s="72"/>
      <c r="G166" s="235"/>
    </row>
    <row r="167" spans="1:7" s="15" customFormat="1" ht="27.75" customHeight="1" x14ac:dyDescent="0.25">
      <c r="A167" s="255"/>
      <c r="B167" s="255"/>
      <c r="C167" s="217">
        <v>3</v>
      </c>
      <c r="D167" s="280" t="s">
        <v>836</v>
      </c>
      <c r="E167" s="303"/>
      <c r="F167" s="72"/>
      <c r="G167" s="235"/>
    </row>
    <row r="168" spans="1:7" s="15" customFormat="1" ht="27.75" customHeight="1" x14ac:dyDescent="0.25">
      <c r="A168" s="255"/>
      <c r="B168" s="255"/>
      <c r="C168" s="217">
        <v>4</v>
      </c>
      <c r="D168" s="280" t="s">
        <v>837</v>
      </c>
      <c r="E168" s="303"/>
      <c r="F168" s="72"/>
      <c r="G168" s="235"/>
    </row>
    <row r="169" spans="1:7" s="15" customFormat="1" ht="15.75" thickBot="1" x14ac:dyDescent="0.3">
      <c r="A169" s="255"/>
      <c r="B169" s="255"/>
      <c r="C169" s="645" t="s">
        <v>103</v>
      </c>
      <c r="D169" s="646"/>
      <c r="E169" s="263">
        <f>E163</f>
        <v>4</v>
      </c>
      <c r="F169" s="72"/>
      <c r="G169" s="235"/>
    </row>
    <row r="170" spans="1:7" s="15" customFormat="1" ht="15.75" thickBot="1" x14ac:dyDescent="0.3">
      <c r="A170" s="255"/>
      <c r="B170" s="255"/>
      <c r="C170" s="72"/>
      <c r="D170" s="72"/>
      <c r="E170" s="258"/>
      <c r="F170" s="72"/>
      <c r="G170" s="235"/>
    </row>
    <row r="171" spans="1:7" s="15" customFormat="1" ht="77.25" customHeight="1" thickBot="1" x14ac:dyDescent="0.3">
      <c r="A171" s="255">
        <v>24</v>
      </c>
      <c r="B171" s="255" t="s">
        <v>138</v>
      </c>
      <c r="C171" s="663" t="s">
        <v>185</v>
      </c>
      <c r="D171" s="664"/>
      <c r="E171" s="261">
        <v>4</v>
      </c>
      <c r="F171" s="72"/>
      <c r="G171" s="223" t="s">
        <v>289</v>
      </c>
    </row>
    <row r="172" spans="1:7" s="15" customFormat="1" ht="18" customHeight="1" x14ac:dyDescent="0.25">
      <c r="A172" s="255"/>
      <c r="B172" s="255"/>
      <c r="C172" s="217">
        <v>0</v>
      </c>
      <c r="D172" s="308" t="s">
        <v>838</v>
      </c>
      <c r="E172" s="303"/>
      <c r="F172" s="72"/>
      <c r="G172" s="235"/>
    </row>
    <row r="173" spans="1:7" s="15" customFormat="1" ht="42" customHeight="1" x14ac:dyDescent="0.25">
      <c r="A173" s="255"/>
      <c r="B173" s="255"/>
      <c r="C173" s="217">
        <v>1</v>
      </c>
      <c r="D173" s="308" t="s">
        <v>839</v>
      </c>
      <c r="E173" s="303"/>
      <c r="F173" s="72"/>
      <c r="G173" s="235"/>
    </row>
    <row r="174" spans="1:7" s="15" customFormat="1" ht="42" customHeight="1" x14ac:dyDescent="0.25">
      <c r="A174" s="255"/>
      <c r="B174" s="255"/>
      <c r="C174" s="217">
        <v>2</v>
      </c>
      <c r="D174" s="308" t="s">
        <v>840</v>
      </c>
      <c r="E174" s="303"/>
      <c r="F174" s="72"/>
      <c r="G174" s="235"/>
    </row>
    <row r="175" spans="1:7" s="15" customFormat="1" ht="42" customHeight="1" x14ac:dyDescent="0.25">
      <c r="A175" s="255"/>
      <c r="B175" s="255"/>
      <c r="C175" s="217">
        <v>3</v>
      </c>
      <c r="D175" s="308" t="s">
        <v>841</v>
      </c>
      <c r="E175" s="303"/>
      <c r="F175" s="72"/>
      <c r="G175" s="235"/>
    </row>
    <row r="176" spans="1:7" s="15" customFormat="1" ht="42" customHeight="1" x14ac:dyDescent="0.25">
      <c r="A176" s="255"/>
      <c r="B176" s="255"/>
      <c r="C176" s="217">
        <v>4</v>
      </c>
      <c r="D176" s="308" t="s">
        <v>842</v>
      </c>
      <c r="E176" s="303"/>
      <c r="F176" s="72"/>
      <c r="G176" s="235"/>
    </row>
    <row r="177" spans="1:7" s="15" customFormat="1" ht="15.75" thickBot="1" x14ac:dyDescent="0.3">
      <c r="A177" s="255"/>
      <c r="B177" s="255"/>
      <c r="C177" s="645" t="s">
        <v>103</v>
      </c>
      <c r="D177" s="646"/>
      <c r="E177" s="263">
        <f>E171</f>
        <v>4</v>
      </c>
      <c r="F177" s="72"/>
      <c r="G177" s="235"/>
    </row>
    <row r="178" spans="1:7" s="15" customFormat="1" ht="15.75" thickBot="1" x14ac:dyDescent="0.3">
      <c r="A178" s="255"/>
      <c r="B178" s="255"/>
      <c r="C178" s="72"/>
      <c r="D178" s="72"/>
      <c r="E178" s="258"/>
      <c r="F178" s="72"/>
      <c r="G178" s="235"/>
    </row>
    <row r="179" spans="1:7" s="15" customFormat="1" ht="118.5" customHeight="1" thickBot="1" x14ac:dyDescent="0.3">
      <c r="A179" s="255">
        <v>25</v>
      </c>
      <c r="B179" s="255" t="s">
        <v>121</v>
      </c>
      <c r="C179" s="663" t="s">
        <v>843</v>
      </c>
      <c r="D179" s="664"/>
      <c r="E179" s="270"/>
      <c r="F179" s="72"/>
      <c r="G179" s="223" t="s">
        <v>290</v>
      </c>
    </row>
    <row r="180" spans="1:7" s="15" customFormat="1" ht="17.25" customHeight="1" x14ac:dyDescent="0.25">
      <c r="A180" s="255"/>
      <c r="B180" s="255"/>
      <c r="C180" s="279">
        <v>1</v>
      </c>
      <c r="D180" s="280" t="s">
        <v>844</v>
      </c>
      <c r="E180" s="266">
        <v>4</v>
      </c>
      <c r="F180" s="72"/>
      <c r="G180" s="232"/>
    </row>
    <row r="181" spans="1:7" s="15" customFormat="1" ht="17.25" customHeight="1" x14ac:dyDescent="0.25">
      <c r="A181" s="255"/>
      <c r="B181" s="255"/>
      <c r="C181" s="279">
        <v>2</v>
      </c>
      <c r="D181" s="280" t="s">
        <v>845</v>
      </c>
      <c r="E181" s="266">
        <v>4</v>
      </c>
      <c r="F181" s="72"/>
      <c r="G181" s="232"/>
    </row>
    <row r="182" spans="1:7" s="15" customFormat="1" ht="17.25" customHeight="1" x14ac:dyDescent="0.25">
      <c r="A182" s="255"/>
      <c r="B182" s="255"/>
      <c r="C182" s="279">
        <v>3</v>
      </c>
      <c r="D182" s="280" t="s">
        <v>846</v>
      </c>
      <c r="E182" s="266">
        <v>4</v>
      </c>
      <c r="F182" s="72"/>
      <c r="G182" s="232"/>
    </row>
    <row r="183" spans="1:7" s="15" customFormat="1" ht="28.5" customHeight="1" x14ac:dyDescent="0.25">
      <c r="A183" s="255"/>
      <c r="B183" s="255"/>
      <c r="C183" s="279">
        <v>4</v>
      </c>
      <c r="D183" s="280" t="s">
        <v>847</v>
      </c>
      <c r="E183" s="266">
        <v>4</v>
      </c>
      <c r="F183" s="72"/>
      <c r="G183" s="232"/>
    </row>
    <row r="184" spans="1:7" s="15" customFormat="1" ht="17.25" customHeight="1" x14ac:dyDescent="0.25">
      <c r="A184" s="255"/>
      <c r="B184" s="255"/>
      <c r="C184" s="739" t="s">
        <v>222</v>
      </c>
      <c r="D184" s="740"/>
      <c r="E184" s="267">
        <f>(SUM(E180:E183)/4)</f>
        <v>4</v>
      </c>
      <c r="F184" s="72"/>
      <c r="G184" s="232"/>
    </row>
    <row r="185" spans="1:7" ht="15.75" thickBot="1" x14ac:dyDescent="0.3">
      <c r="A185" s="255"/>
      <c r="B185" s="255"/>
      <c r="C185" s="653" t="s">
        <v>103</v>
      </c>
      <c r="D185" s="654"/>
      <c r="E185" s="263">
        <f>E184</f>
        <v>4</v>
      </c>
      <c r="F185" s="72"/>
      <c r="G185" s="235"/>
    </row>
    <row r="186" spans="1:7" ht="15.75" thickBot="1" x14ac:dyDescent="0.3">
      <c r="A186" s="255"/>
      <c r="B186" s="255"/>
      <c r="C186" s="72"/>
      <c r="D186" s="72"/>
      <c r="E186" s="258"/>
      <c r="F186" s="72"/>
      <c r="G186" s="235"/>
    </row>
    <row r="187" spans="1:7" s="15" customFormat="1" ht="97.5" customHeight="1" thickBot="1" x14ac:dyDescent="0.3">
      <c r="A187" s="290">
        <v>26</v>
      </c>
      <c r="B187" s="291" t="s">
        <v>187</v>
      </c>
      <c r="C187" s="731" t="s">
        <v>223</v>
      </c>
      <c r="D187" s="732"/>
      <c r="E187" s="265"/>
      <c r="F187" s="72"/>
      <c r="G187" s="99" t="str">
        <f>D188&amp;" = Rp "&amp;E188&amp;" juta. "&amp;D189&amp;" = Rp "&amp;E189&amp;" juta. "&amp;D190&amp;" = "&amp;TEXT(E190,"0.00%")&amp;"."</f>
        <v>Total dana yang diperoleh dari mahasiswa dalam tiga tahun terakhir = Rp 30 juta. Total penerimaan dana dari berbagai sumber dalam tiga tahun terakhir = Rp 100 juta. Persentase dana fakultas yang berasal dari mahasiswa = 30.00%.</v>
      </c>
    </row>
    <row r="188" spans="1:7" s="15" customFormat="1" ht="25.5" x14ac:dyDescent="0.25">
      <c r="A188" s="290"/>
      <c r="B188" s="290"/>
      <c r="C188" s="318" t="s">
        <v>651</v>
      </c>
      <c r="D188" s="314" t="s">
        <v>848</v>
      </c>
      <c r="E188" s="266">
        <v>30</v>
      </c>
      <c r="F188" s="317" t="s">
        <v>851</v>
      </c>
      <c r="G188" s="651"/>
    </row>
    <row r="189" spans="1:7" s="15" customFormat="1" ht="26.25" thickBot="1" x14ac:dyDescent="0.3">
      <c r="A189" s="290"/>
      <c r="B189" s="290"/>
      <c r="C189" s="318" t="s">
        <v>799</v>
      </c>
      <c r="D189" s="314" t="s">
        <v>849</v>
      </c>
      <c r="E189" s="266">
        <v>100</v>
      </c>
      <c r="F189" s="317" t="s">
        <v>851</v>
      </c>
      <c r="G189" s="652"/>
    </row>
    <row r="190" spans="1:7" s="15" customFormat="1" x14ac:dyDescent="0.25">
      <c r="A190" s="289"/>
      <c r="B190" s="289"/>
      <c r="C190" s="71" t="s">
        <v>800</v>
      </c>
      <c r="D190" s="67" t="s">
        <v>850</v>
      </c>
      <c r="E190" s="269">
        <f>E188/E189</f>
        <v>0.3</v>
      </c>
      <c r="F190" s="72"/>
      <c r="G190" s="235"/>
    </row>
    <row r="191" spans="1:7" s="15" customFormat="1" ht="15.75" thickBot="1" x14ac:dyDescent="0.3">
      <c r="A191" s="255"/>
      <c r="B191" s="255"/>
      <c r="C191" s="645" t="s">
        <v>103</v>
      </c>
      <c r="D191" s="646"/>
      <c r="E191" s="263">
        <f>IF(E190&lt;0, "Salah isi", IF(E190&lt;=33%, 4, IF(E190&lt;=100%, (334-200*E190)/67, "Salah isi")))</f>
        <v>4</v>
      </c>
      <c r="F191" s="72"/>
      <c r="G191" s="235"/>
    </row>
    <row r="192" spans="1:7" s="15" customFormat="1" ht="15.75" thickBot="1" x14ac:dyDescent="0.3">
      <c r="A192" s="255"/>
      <c r="B192" s="255"/>
      <c r="C192" s="281"/>
      <c r="D192" s="282"/>
      <c r="E192" s="264"/>
      <c r="F192" s="72"/>
      <c r="G192" s="235"/>
    </row>
    <row r="193" spans="1:7" s="15" customFormat="1" ht="72" customHeight="1" thickBot="1" x14ac:dyDescent="0.3">
      <c r="A193" s="255">
        <v>27</v>
      </c>
      <c r="B193" s="255" t="s">
        <v>189</v>
      </c>
      <c r="C193" s="725" t="s">
        <v>225</v>
      </c>
      <c r="D193" s="726"/>
      <c r="E193" s="261">
        <v>4</v>
      </c>
      <c r="F193" s="72"/>
      <c r="G193" s="223" t="s">
        <v>291</v>
      </c>
    </row>
    <row r="194" spans="1:7" s="15" customFormat="1" ht="20.25" customHeight="1" x14ac:dyDescent="0.25">
      <c r="A194" s="255"/>
      <c r="B194" s="255"/>
      <c r="C194" s="217">
        <v>0</v>
      </c>
      <c r="D194" s="100" t="s">
        <v>852</v>
      </c>
      <c r="E194" s="303"/>
      <c r="F194" s="72"/>
      <c r="G194" s="235"/>
    </row>
    <row r="195" spans="1:7" s="15" customFormat="1" ht="20.25" customHeight="1" x14ac:dyDescent="0.25">
      <c r="A195" s="255"/>
      <c r="B195" s="255"/>
      <c r="C195" s="217">
        <v>1</v>
      </c>
      <c r="D195" s="100" t="s">
        <v>853</v>
      </c>
      <c r="E195" s="303"/>
      <c r="F195" s="72"/>
      <c r="G195" s="235"/>
    </row>
    <row r="196" spans="1:7" s="15" customFormat="1" ht="32.25" customHeight="1" x14ac:dyDescent="0.25">
      <c r="A196" s="255"/>
      <c r="B196" s="255"/>
      <c r="C196" s="217">
        <v>2</v>
      </c>
      <c r="D196" s="100" t="s">
        <v>854</v>
      </c>
      <c r="E196" s="303"/>
      <c r="F196" s="72"/>
      <c r="G196" s="235"/>
    </row>
    <row r="197" spans="1:7" s="15" customFormat="1" ht="32.25" customHeight="1" x14ac:dyDescent="0.25">
      <c r="A197" s="255"/>
      <c r="B197" s="255"/>
      <c r="C197" s="217">
        <v>3</v>
      </c>
      <c r="D197" s="100" t="s">
        <v>855</v>
      </c>
      <c r="E197" s="303"/>
      <c r="F197" s="72"/>
      <c r="G197" s="235"/>
    </row>
    <row r="198" spans="1:7" s="15" customFormat="1" ht="32.25" customHeight="1" x14ac:dyDescent="0.25">
      <c r="A198" s="255"/>
      <c r="B198" s="255"/>
      <c r="C198" s="217">
        <v>4</v>
      </c>
      <c r="D198" s="100" t="s">
        <v>856</v>
      </c>
      <c r="E198" s="303"/>
      <c r="F198" s="72"/>
      <c r="G198" s="235"/>
    </row>
    <row r="199" spans="1:7" s="15" customFormat="1" ht="15.75" thickBot="1" x14ac:dyDescent="0.3">
      <c r="A199" s="255"/>
      <c r="B199" s="255"/>
      <c r="C199" s="653" t="s">
        <v>103</v>
      </c>
      <c r="D199" s="654"/>
      <c r="E199" s="263">
        <f>E193</f>
        <v>4</v>
      </c>
      <c r="F199" s="72"/>
      <c r="G199" s="235"/>
    </row>
    <row r="200" spans="1:7" s="15" customFormat="1" ht="15.75" thickBot="1" x14ac:dyDescent="0.3">
      <c r="A200" s="255"/>
      <c r="B200" s="255"/>
      <c r="C200" s="281"/>
      <c r="D200" s="282"/>
      <c r="E200" s="264"/>
      <c r="F200" s="72"/>
      <c r="G200" s="235"/>
    </row>
    <row r="201" spans="1:7" s="15" customFormat="1" ht="70.5" customHeight="1" thickBot="1" x14ac:dyDescent="0.3">
      <c r="A201" s="255">
        <v>28</v>
      </c>
      <c r="B201" s="255" t="s">
        <v>191</v>
      </c>
      <c r="C201" s="273" t="s">
        <v>224</v>
      </c>
      <c r="D201" s="276"/>
      <c r="E201" s="261">
        <v>4</v>
      </c>
      <c r="F201" s="72"/>
      <c r="G201" s="223" t="s">
        <v>292</v>
      </c>
    </row>
    <row r="202" spans="1:7" s="15" customFormat="1" ht="19.5" customHeight="1" x14ac:dyDescent="0.25">
      <c r="A202" s="255"/>
      <c r="B202" s="255"/>
      <c r="C202" s="217">
        <v>0</v>
      </c>
      <c r="D202" s="101" t="s">
        <v>350</v>
      </c>
      <c r="E202" s="303"/>
      <c r="F202" s="72"/>
      <c r="G202" s="235"/>
    </row>
    <row r="203" spans="1:7" s="15" customFormat="1" ht="19.5" customHeight="1" x14ac:dyDescent="0.25">
      <c r="A203" s="255"/>
      <c r="B203" s="255"/>
      <c r="C203" s="217">
        <v>1</v>
      </c>
      <c r="D203" s="101" t="s">
        <v>857</v>
      </c>
      <c r="E203" s="303"/>
      <c r="F203" s="72"/>
      <c r="G203" s="235"/>
    </row>
    <row r="204" spans="1:7" s="15" customFormat="1" ht="19.5" customHeight="1" x14ac:dyDescent="0.25">
      <c r="A204" s="255"/>
      <c r="B204" s="255"/>
      <c r="C204" s="217">
        <v>2</v>
      </c>
      <c r="D204" s="101" t="s">
        <v>858</v>
      </c>
      <c r="E204" s="303"/>
      <c r="F204" s="72"/>
      <c r="G204" s="235"/>
    </row>
    <row r="205" spans="1:7" s="15" customFormat="1" ht="19.5" customHeight="1" x14ac:dyDescent="0.25">
      <c r="A205" s="255"/>
      <c r="B205" s="255"/>
      <c r="C205" s="217">
        <v>3</v>
      </c>
      <c r="D205" s="101" t="s">
        <v>859</v>
      </c>
      <c r="E205" s="303"/>
      <c r="F205" s="72"/>
      <c r="G205" s="235"/>
    </row>
    <row r="206" spans="1:7" s="15" customFormat="1" ht="19.5" customHeight="1" x14ac:dyDescent="0.25">
      <c r="A206" s="255"/>
      <c r="B206" s="255"/>
      <c r="C206" s="217">
        <v>4</v>
      </c>
      <c r="D206" s="101" t="s">
        <v>860</v>
      </c>
      <c r="E206" s="303"/>
      <c r="F206" s="72"/>
      <c r="G206" s="235"/>
    </row>
    <row r="207" spans="1:7" s="15" customFormat="1" ht="15.75" thickBot="1" x14ac:dyDescent="0.3">
      <c r="A207" s="255"/>
      <c r="B207" s="255"/>
      <c r="C207" s="653" t="s">
        <v>103</v>
      </c>
      <c r="D207" s="654"/>
      <c r="E207" s="263">
        <f>E201</f>
        <v>4</v>
      </c>
      <c r="F207" s="72"/>
      <c r="G207" s="235"/>
    </row>
    <row r="208" spans="1:7" s="15" customFormat="1" ht="15.75" thickBot="1" x14ac:dyDescent="0.3">
      <c r="A208" s="255"/>
      <c r="B208" s="255"/>
      <c r="C208" s="281"/>
      <c r="D208" s="282"/>
      <c r="E208" s="264"/>
      <c r="F208" s="72"/>
      <c r="G208" s="235"/>
    </row>
    <row r="209" spans="1:7" s="15" customFormat="1" ht="87.75" customHeight="1" thickBot="1" x14ac:dyDescent="0.3">
      <c r="A209" s="255">
        <v>29</v>
      </c>
      <c r="B209" s="255" t="s">
        <v>20</v>
      </c>
      <c r="C209" s="733" t="s">
        <v>79</v>
      </c>
      <c r="D209" s="734"/>
      <c r="E209" s="261">
        <v>4</v>
      </c>
      <c r="F209" s="72"/>
      <c r="G209" s="223" t="s">
        <v>293</v>
      </c>
    </row>
    <row r="210" spans="1:7" s="15" customFormat="1" ht="19.5" customHeight="1" x14ac:dyDescent="0.25">
      <c r="A210" s="255"/>
      <c r="B210" s="255"/>
      <c r="C210" s="217">
        <v>0</v>
      </c>
      <c r="D210" s="310" t="s">
        <v>861</v>
      </c>
      <c r="E210" s="303"/>
      <c r="F210" s="72"/>
      <c r="G210" s="235"/>
    </row>
    <row r="211" spans="1:7" s="15" customFormat="1" ht="19.5" customHeight="1" x14ac:dyDescent="0.25">
      <c r="A211" s="255"/>
      <c r="B211" s="255"/>
      <c r="C211" s="217">
        <v>1</v>
      </c>
      <c r="D211" s="310" t="s">
        <v>862</v>
      </c>
      <c r="E211" s="303"/>
      <c r="F211" s="72"/>
      <c r="G211" s="235"/>
    </row>
    <row r="212" spans="1:7" s="15" customFormat="1" ht="19.5" customHeight="1" x14ac:dyDescent="0.25">
      <c r="A212" s="255"/>
      <c r="B212" s="255"/>
      <c r="C212" s="217">
        <v>2</v>
      </c>
      <c r="D212" s="310" t="s">
        <v>863</v>
      </c>
      <c r="E212" s="303"/>
      <c r="F212" s="72"/>
      <c r="G212" s="235"/>
    </row>
    <row r="213" spans="1:7" s="15" customFormat="1" ht="30" customHeight="1" x14ac:dyDescent="0.25">
      <c r="A213" s="255"/>
      <c r="B213" s="255"/>
      <c r="C213" s="217">
        <v>3</v>
      </c>
      <c r="D213" s="310" t="s">
        <v>864</v>
      </c>
      <c r="E213" s="303"/>
      <c r="F213" s="72"/>
      <c r="G213" s="235"/>
    </row>
    <row r="214" spans="1:7" s="15" customFormat="1" ht="42" customHeight="1" x14ac:dyDescent="0.25">
      <c r="A214" s="255"/>
      <c r="B214" s="255"/>
      <c r="C214" s="217">
        <v>4</v>
      </c>
      <c r="D214" s="310" t="s">
        <v>865</v>
      </c>
      <c r="E214" s="303"/>
      <c r="F214" s="72"/>
      <c r="G214" s="235"/>
    </row>
    <row r="215" spans="1:7" s="15" customFormat="1" ht="15.75" thickBot="1" x14ac:dyDescent="0.3">
      <c r="A215" s="255"/>
      <c r="B215" s="255"/>
      <c r="C215" s="653" t="s">
        <v>103</v>
      </c>
      <c r="D215" s="654"/>
      <c r="E215" s="263">
        <f>E209</f>
        <v>4</v>
      </c>
      <c r="F215" s="72"/>
      <c r="G215" s="235"/>
    </row>
    <row r="216" spans="1:7" s="15" customFormat="1" ht="15.75" thickBot="1" x14ac:dyDescent="0.3">
      <c r="A216" s="255"/>
      <c r="B216" s="255"/>
      <c r="C216" s="281"/>
      <c r="D216" s="282"/>
      <c r="E216" s="264"/>
      <c r="F216" s="72"/>
      <c r="G216" s="235"/>
    </row>
    <row r="217" spans="1:7" s="15" customFormat="1" ht="78.75" customHeight="1" thickBot="1" x14ac:dyDescent="0.3">
      <c r="A217" s="255">
        <v>30</v>
      </c>
      <c r="B217" s="255" t="s">
        <v>21</v>
      </c>
      <c r="C217" s="277" t="s">
        <v>80</v>
      </c>
      <c r="D217" s="276"/>
      <c r="E217" s="261">
        <v>4</v>
      </c>
      <c r="F217" s="72"/>
      <c r="G217" s="223" t="s">
        <v>294</v>
      </c>
    </row>
    <row r="218" spans="1:7" s="15" customFormat="1" ht="18" customHeight="1" x14ac:dyDescent="0.25">
      <c r="A218" s="255"/>
      <c r="B218" s="255"/>
      <c r="C218" s="217">
        <v>0</v>
      </c>
      <c r="D218" s="220" t="s">
        <v>866</v>
      </c>
      <c r="E218" s="303"/>
      <c r="F218" s="72"/>
      <c r="G218" s="235"/>
    </row>
    <row r="219" spans="1:7" s="15" customFormat="1" ht="21" customHeight="1" x14ac:dyDescent="0.25">
      <c r="A219" s="255"/>
      <c r="B219" s="255"/>
      <c r="C219" s="217">
        <v>1</v>
      </c>
      <c r="D219" s="220" t="s">
        <v>867</v>
      </c>
      <c r="E219" s="303"/>
      <c r="F219" s="72"/>
      <c r="G219" s="235"/>
    </row>
    <row r="220" spans="1:7" s="15" customFormat="1" ht="30" customHeight="1" x14ac:dyDescent="0.25">
      <c r="A220" s="255"/>
      <c r="B220" s="255"/>
      <c r="C220" s="217">
        <v>2</v>
      </c>
      <c r="D220" s="220" t="s">
        <v>868</v>
      </c>
      <c r="E220" s="303"/>
      <c r="F220" s="72"/>
      <c r="G220" s="235"/>
    </row>
    <row r="221" spans="1:7" s="15" customFormat="1" ht="30" customHeight="1" x14ac:dyDescent="0.25">
      <c r="A221" s="255"/>
      <c r="B221" s="255"/>
      <c r="C221" s="217">
        <v>3</v>
      </c>
      <c r="D221" s="220" t="s">
        <v>869</v>
      </c>
      <c r="E221" s="303"/>
      <c r="F221" s="72"/>
      <c r="G221" s="235"/>
    </row>
    <row r="222" spans="1:7" s="15" customFormat="1" ht="30" customHeight="1" x14ac:dyDescent="0.25">
      <c r="A222" s="255"/>
      <c r="B222" s="255"/>
      <c r="C222" s="217">
        <v>4</v>
      </c>
      <c r="D222" s="220" t="s">
        <v>870</v>
      </c>
      <c r="E222" s="303"/>
      <c r="F222" s="72"/>
      <c r="G222" s="235"/>
    </row>
    <row r="223" spans="1:7" s="15" customFormat="1" ht="15.75" thickBot="1" x14ac:dyDescent="0.3">
      <c r="A223" s="255"/>
      <c r="B223" s="255"/>
      <c r="C223" s="653" t="s">
        <v>103</v>
      </c>
      <c r="D223" s="654"/>
      <c r="E223" s="263">
        <f>E217</f>
        <v>4</v>
      </c>
      <c r="F223" s="72"/>
      <c r="G223" s="235"/>
    </row>
    <row r="224" spans="1:7" s="15" customFormat="1" ht="15.75" thickBot="1" x14ac:dyDescent="0.3">
      <c r="A224" s="255"/>
      <c r="B224" s="255"/>
      <c r="C224" s="281"/>
      <c r="D224" s="282"/>
      <c r="E224" s="264"/>
      <c r="F224" s="72"/>
      <c r="G224" s="235"/>
    </row>
    <row r="225" spans="1:7" s="15" customFormat="1" ht="69" customHeight="1" thickBot="1" x14ac:dyDescent="0.3">
      <c r="A225" s="255">
        <v>31</v>
      </c>
      <c r="B225" s="255" t="s">
        <v>22</v>
      </c>
      <c r="C225" s="273" t="s">
        <v>741</v>
      </c>
      <c r="D225" s="276"/>
      <c r="E225" s="261">
        <v>4</v>
      </c>
      <c r="F225" s="72"/>
      <c r="G225" s="223" t="s">
        <v>295</v>
      </c>
    </row>
    <row r="226" spans="1:7" s="15" customFormat="1" ht="18.75" customHeight="1" x14ac:dyDescent="0.25">
      <c r="A226" s="255"/>
      <c r="B226" s="255"/>
      <c r="C226" s="217">
        <v>0</v>
      </c>
      <c r="D226" s="101" t="s">
        <v>871</v>
      </c>
      <c r="E226" s="303"/>
      <c r="F226" s="72"/>
      <c r="G226" s="235"/>
    </row>
    <row r="227" spans="1:7" s="15" customFormat="1" ht="18.75" customHeight="1" x14ac:dyDescent="0.25">
      <c r="A227" s="255"/>
      <c r="B227" s="255"/>
      <c r="C227" s="217">
        <v>1</v>
      </c>
      <c r="D227" s="101" t="s">
        <v>872</v>
      </c>
      <c r="E227" s="303"/>
      <c r="F227" s="72"/>
      <c r="G227" s="235"/>
    </row>
    <row r="228" spans="1:7" s="15" customFormat="1" ht="18.75" customHeight="1" x14ac:dyDescent="0.25">
      <c r="A228" s="255"/>
      <c r="B228" s="255"/>
      <c r="C228" s="217">
        <v>2</v>
      </c>
      <c r="D228" s="101" t="s">
        <v>873</v>
      </c>
      <c r="E228" s="303"/>
      <c r="F228" s="72"/>
      <c r="G228" s="235"/>
    </row>
    <row r="229" spans="1:7" s="15" customFormat="1" ht="18.75" customHeight="1" x14ac:dyDescent="0.25">
      <c r="A229" s="255"/>
      <c r="B229" s="255"/>
      <c r="C229" s="217">
        <v>3</v>
      </c>
      <c r="D229" s="101" t="s">
        <v>874</v>
      </c>
      <c r="E229" s="303"/>
      <c r="F229" s="72"/>
      <c r="G229" s="235"/>
    </row>
    <row r="230" spans="1:7" s="15" customFormat="1" ht="18.75" customHeight="1" x14ac:dyDescent="0.25">
      <c r="A230" s="255"/>
      <c r="B230" s="255"/>
      <c r="C230" s="217">
        <v>4</v>
      </c>
      <c r="D230" s="101" t="s">
        <v>875</v>
      </c>
      <c r="E230" s="303"/>
      <c r="F230" s="72"/>
      <c r="G230" s="235"/>
    </row>
    <row r="231" spans="1:7" s="15" customFormat="1" ht="15.75" thickBot="1" x14ac:dyDescent="0.3">
      <c r="A231" s="255"/>
      <c r="B231" s="255"/>
      <c r="C231" s="653" t="s">
        <v>103</v>
      </c>
      <c r="D231" s="654"/>
      <c r="E231" s="263">
        <f>E225</f>
        <v>4</v>
      </c>
      <c r="F231" s="72"/>
      <c r="G231" s="235"/>
    </row>
    <row r="232" spans="1:7" s="15" customFormat="1" ht="15.75" thickBot="1" x14ac:dyDescent="0.3">
      <c r="A232" s="255"/>
      <c r="B232" s="255"/>
      <c r="C232" s="281"/>
      <c r="D232" s="282"/>
      <c r="E232" s="264"/>
      <c r="F232" s="72"/>
      <c r="G232" s="235"/>
    </row>
    <row r="233" spans="1:7" s="15" customFormat="1" ht="69.75" customHeight="1" thickBot="1" x14ac:dyDescent="0.3">
      <c r="A233" s="255">
        <v>32</v>
      </c>
      <c r="B233" s="255" t="s">
        <v>23</v>
      </c>
      <c r="C233" s="277" t="s">
        <v>139</v>
      </c>
      <c r="D233" s="276"/>
      <c r="E233" s="261">
        <v>4</v>
      </c>
      <c r="F233" s="72"/>
      <c r="G233" s="223" t="s">
        <v>296</v>
      </c>
    </row>
    <row r="234" spans="1:7" s="15" customFormat="1" ht="22.5" customHeight="1" x14ac:dyDescent="0.25">
      <c r="A234" s="255"/>
      <c r="B234" s="255"/>
      <c r="C234" s="217">
        <v>0</v>
      </c>
      <c r="D234" s="100" t="s">
        <v>876</v>
      </c>
      <c r="E234" s="303"/>
      <c r="F234" s="72"/>
      <c r="G234" s="235"/>
    </row>
    <row r="235" spans="1:7" s="15" customFormat="1" ht="31.5" customHeight="1" x14ac:dyDescent="0.25">
      <c r="A235" s="255"/>
      <c r="B235" s="255"/>
      <c r="C235" s="217">
        <v>1</v>
      </c>
      <c r="D235" s="100" t="s">
        <v>877</v>
      </c>
      <c r="E235" s="303"/>
      <c r="F235" s="72"/>
      <c r="G235" s="235"/>
    </row>
    <row r="236" spans="1:7" s="15" customFormat="1" ht="45.75" customHeight="1" x14ac:dyDescent="0.25">
      <c r="A236" s="255"/>
      <c r="B236" s="255"/>
      <c r="C236" s="217">
        <v>2</v>
      </c>
      <c r="D236" s="100" t="s">
        <v>878</v>
      </c>
      <c r="E236" s="303"/>
      <c r="F236" s="72"/>
      <c r="G236" s="235"/>
    </row>
    <row r="237" spans="1:7" s="15" customFormat="1" ht="33.75" customHeight="1" x14ac:dyDescent="0.25">
      <c r="A237" s="255"/>
      <c r="B237" s="255"/>
      <c r="C237" s="217">
        <v>3</v>
      </c>
      <c r="D237" s="100" t="s">
        <v>879</v>
      </c>
      <c r="E237" s="303"/>
      <c r="F237" s="72"/>
      <c r="G237" s="235"/>
    </row>
    <row r="238" spans="1:7" s="15" customFormat="1" ht="45.75" customHeight="1" x14ac:dyDescent="0.25">
      <c r="A238" s="255"/>
      <c r="B238" s="255"/>
      <c r="C238" s="217">
        <v>4</v>
      </c>
      <c r="D238" s="100" t="s">
        <v>880</v>
      </c>
      <c r="E238" s="303"/>
      <c r="F238" s="72"/>
      <c r="G238" s="235"/>
    </row>
    <row r="239" spans="1:7" s="15" customFormat="1" ht="15.75" thickBot="1" x14ac:dyDescent="0.3">
      <c r="A239" s="255"/>
      <c r="B239" s="255"/>
      <c r="C239" s="653" t="s">
        <v>103</v>
      </c>
      <c r="D239" s="654"/>
      <c r="E239" s="263">
        <f>E233</f>
        <v>4</v>
      </c>
      <c r="F239" s="72"/>
      <c r="G239" s="235"/>
    </row>
    <row r="240" spans="1:7" s="15" customFormat="1" ht="15.75" thickBot="1" x14ac:dyDescent="0.3">
      <c r="A240" s="255"/>
      <c r="B240" s="255"/>
      <c r="C240" s="281"/>
      <c r="D240" s="282"/>
      <c r="E240" s="264"/>
      <c r="F240" s="72"/>
      <c r="G240" s="235"/>
    </row>
    <row r="241" spans="1:7" s="15" customFormat="1" ht="88.5" customHeight="1" thickBot="1" x14ac:dyDescent="0.3">
      <c r="A241" s="255">
        <v>33</v>
      </c>
      <c r="B241" s="255" t="s">
        <v>196</v>
      </c>
      <c r="C241" s="663" t="s">
        <v>742</v>
      </c>
      <c r="D241" s="664"/>
      <c r="E241" s="261">
        <v>4</v>
      </c>
      <c r="F241" s="72"/>
      <c r="G241" s="223" t="s">
        <v>297</v>
      </c>
    </row>
    <row r="242" spans="1:7" s="15" customFormat="1" ht="42" customHeight="1" x14ac:dyDescent="0.25">
      <c r="A242" s="255"/>
      <c r="B242" s="255"/>
      <c r="C242" s="217">
        <v>1</v>
      </c>
      <c r="D242" s="280" t="s">
        <v>881</v>
      </c>
      <c r="E242" s="303"/>
      <c r="F242" s="72"/>
      <c r="G242" s="235"/>
    </row>
    <row r="243" spans="1:7" s="15" customFormat="1" ht="54" customHeight="1" x14ac:dyDescent="0.25">
      <c r="A243" s="255"/>
      <c r="B243" s="255"/>
      <c r="C243" s="217">
        <v>2</v>
      </c>
      <c r="D243" s="280" t="s">
        <v>882</v>
      </c>
      <c r="E243" s="303"/>
      <c r="F243" s="72"/>
      <c r="G243" s="235"/>
    </row>
    <row r="244" spans="1:7" s="15" customFormat="1" ht="68.25" customHeight="1" x14ac:dyDescent="0.25">
      <c r="A244" s="255"/>
      <c r="B244" s="255"/>
      <c r="C244" s="217">
        <v>3</v>
      </c>
      <c r="D244" s="280" t="s">
        <v>883</v>
      </c>
      <c r="E244" s="303"/>
      <c r="F244" s="72"/>
      <c r="G244" s="235"/>
    </row>
    <row r="245" spans="1:7" s="15" customFormat="1" ht="54" customHeight="1" x14ac:dyDescent="0.25">
      <c r="A245" s="255"/>
      <c r="B245" s="255"/>
      <c r="C245" s="217">
        <v>4</v>
      </c>
      <c r="D245" s="280" t="s">
        <v>884</v>
      </c>
      <c r="E245" s="303"/>
      <c r="F245" s="72"/>
      <c r="G245" s="235"/>
    </row>
    <row r="246" spans="1:7" s="15" customFormat="1" ht="15.75" thickBot="1" x14ac:dyDescent="0.3">
      <c r="A246" s="255"/>
      <c r="B246" s="255"/>
      <c r="C246" s="653" t="s">
        <v>103</v>
      </c>
      <c r="D246" s="654"/>
      <c r="E246" s="263">
        <f>E241</f>
        <v>4</v>
      </c>
      <c r="F246" s="72"/>
      <c r="G246" s="235"/>
    </row>
    <row r="247" spans="1:7" s="15" customFormat="1" ht="15.75" thickBot="1" x14ac:dyDescent="0.3">
      <c r="A247" s="255"/>
      <c r="B247" s="255"/>
      <c r="C247" s="281"/>
      <c r="D247" s="282"/>
      <c r="E247" s="264"/>
      <c r="F247" s="72"/>
      <c r="G247" s="235"/>
    </row>
    <row r="248" spans="1:7" s="15" customFormat="1" ht="81.75" customHeight="1" thickBot="1" x14ac:dyDescent="0.3">
      <c r="A248" s="255">
        <v>34</v>
      </c>
      <c r="B248" s="255" t="s">
        <v>198</v>
      </c>
      <c r="C248" s="663" t="s">
        <v>743</v>
      </c>
      <c r="D248" s="664"/>
      <c r="E248" s="261">
        <v>4</v>
      </c>
      <c r="F248" s="72"/>
      <c r="G248" s="223" t="s">
        <v>298</v>
      </c>
    </row>
    <row r="249" spans="1:7" s="15" customFormat="1" ht="18.75" customHeight="1" x14ac:dyDescent="0.25">
      <c r="A249" s="255"/>
      <c r="B249" s="255"/>
      <c r="C249" s="217">
        <v>1</v>
      </c>
      <c r="D249" s="280" t="s">
        <v>887</v>
      </c>
      <c r="E249" s="303"/>
      <c r="F249" s="72"/>
      <c r="G249" s="235"/>
    </row>
    <row r="250" spans="1:7" s="15" customFormat="1" ht="30" customHeight="1" x14ac:dyDescent="0.25">
      <c r="A250" s="255"/>
      <c r="B250" s="255"/>
      <c r="C250" s="217">
        <v>2</v>
      </c>
      <c r="D250" s="280" t="s">
        <v>888</v>
      </c>
      <c r="E250" s="303"/>
      <c r="F250" s="72"/>
      <c r="G250" s="235"/>
    </row>
    <row r="251" spans="1:7" s="15" customFormat="1" ht="42.75" customHeight="1" x14ac:dyDescent="0.25">
      <c r="A251" s="255"/>
      <c r="B251" s="255"/>
      <c r="C251" s="217">
        <v>3</v>
      </c>
      <c r="D251" s="280" t="s">
        <v>889</v>
      </c>
      <c r="E251" s="303"/>
      <c r="F251" s="72"/>
      <c r="G251" s="235"/>
    </row>
    <row r="252" spans="1:7" s="15" customFormat="1" ht="42.75" customHeight="1" x14ac:dyDescent="0.25">
      <c r="A252" s="255"/>
      <c r="B252" s="255"/>
      <c r="C252" s="217">
        <v>4</v>
      </c>
      <c r="D252" s="280" t="s">
        <v>890</v>
      </c>
      <c r="E252" s="303"/>
      <c r="F252" s="72"/>
      <c r="G252" s="235"/>
    </row>
    <row r="253" spans="1:7" s="15" customFormat="1" ht="15.75" thickBot="1" x14ac:dyDescent="0.3">
      <c r="A253" s="255"/>
      <c r="B253" s="255"/>
      <c r="C253" s="653" t="s">
        <v>103</v>
      </c>
      <c r="D253" s="654"/>
      <c r="E253" s="263">
        <f>E248</f>
        <v>4</v>
      </c>
      <c r="F253" s="72"/>
      <c r="G253" s="235"/>
    </row>
    <row r="254" spans="1:7" s="15" customFormat="1" ht="15.75" thickBot="1" x14ac:dyDescent="0.3">
      <c r="A254" s="255"/>
      <c r="B254" s="255"/>
      <c r="C254" s="281"/>
      <c r="D254" s="282"/>
      <c r="E254" s="264"/>
      <c r="F254" s="72"/>
      <c r="G254" s="235"/>
    </row>
    <row r="255" spans="1:7" s="15" customFormat="1" ht="98.25" customHeight="1" thickBot="1" x14ac:dyDescent="0.3">
      <c r="A255" s="255">
        <v>35</v>
      </c>
      <c r="B255" s="255" t="s">
        <v>24</v>
      </c>
      <c r="C255" s="729" t="s">
        <v>921</v>
      </c>
      <c r="D255" s="730"/>
      <c r="E255" s="270"/>
      <c r="F255" s="72"/>
      <c r="G255" s="99" t="str">
        <f>IF(SUM(E256:E259)&gt;12,"Salah isi. Jumlah isian sel warna kuning tidak boleh lebih dari 12. ", C255&amp;"Ada 12 jenis data. "&amp;IF(E256=0,"","Data yang dikelola secara manual = "&amp;E256&amp;" jenis. ")&amp;IF(E257=0,"","Data yang dikelola dengan komputer yang tidak terhubung jaringan = "&amp;E257&amp;" jenis. ")&amp;IF(E258=0,"","Data yang dikelola dengan komputer yang terhubung jaringan lokal (LAN) = "&amp;E258&amp;"jenis.")&amp;IF(E259=0,"","Data yang dikelola dengan komputer yang terhubung jaringan luas (WAN) = "&amp;E259&amp;" jenis."))</f>
        <v>Aksesibilitas data dalam sistem informasi. Ada 12 jenis data. Data yang dikelola dengan komputer yang terhubung jaringan luas (WAN) = 12 jenis.</v>
      </c>
    </row>
    <row r="256" spans="1:7" x14ac:dyDescent="0.25">
      <c r="A256" s="289"/>
      <c r="B256" s="289"/>
      <c r="C256" s="66" t="s">
        <v>134</v>
      </c>
      <c r="D256" s="67"/>
      <c r="E256" s="266">
        <v>0</v>
      </c>
      <c r="F256" s="72"/>
      <c r="G256" s="651"/>
    </row>
    <row r="257" spans="1:7" ht="15.75" thickBot="1" x14ac:dyDescent="0.3">
      <c r="A257" s="255"/>
      <c r="B257" s="255"/>
      <c r="C257" s="75" t="s">
        <v>122</v>
      </c>
      <c r="D257" s="67"/>
      <c r="E257" s="266">
        <v>0</v>
      </c>
      <c r="F257" s="72"/>
      <c r="G257" s="652"/>
    </row>
    <row r="258" spans="1:7" x14ac:dyDescent="0.25">
      <c r="A258" s="255"/>
      <c r="B258" s="255"/>
      <c r="C258" s="66" t="s">
        <v>135</v>
      </c>
      <c r="D258" s="67"/>
      <c r="E258" s="266">
        <v>0</v>
      </c>
      <c r="F258" s="72"/>
      <c r="G258" s="235"/>
    </row>
    <row r="259" spans="1:7" x14ac:dyDescent="0.25">
      <c r="A259" s="255"/>
      <c r="B259" s="255"/>
      <c r="C259" s="75" t="s">
        <v>123</v>
      </c>
      <c r="D259" s="67"/>
      <c r="E259" s="266">
        <v>12</v>
      </c>
      <c r="F259" s="72"/>
      <c r="G259" s="235"/>
    </row>
    <row r="260" spans="1:7" x14ac:dyDescent="0.25">
      <c r="A260" s="255"/>
      <c r="B260" s="255"/>
      <c r="C260" s="75" t="s">
        <v>119</v>
      </c>
      <c r="D260" s="67" t="s">
        <v>226</v>
      </c>
      <c r="E260" s="267">
        <f>IF((E256+E257+E258+E259)&gt;12,"Salah",(E256+2*E257+3*E258+4*E259)/12)</f>
        <v>4</v>
      </c>
      <c r="F260" s="72"/>
      <c r="G260" s="235"/>
    </row>
    <row r="261" spans="1:7" x14ac:dyDescent="0.25">
      <c r="A261" s="255"/>
      <c r="B261" s="255"/>
      <c r="C261" s="727" t="s">
        <v>103</v>
      </c>
      <c r="D261" s="728"/>
      <c r="E261" s="271">
        <f>E260</f>
        <v>4</v>
      </c>
      <c r="F261" s="72"/>
      <c r="G261" s="235"/>
    </row>
    <row r="262" spans="1:7" ht="15.75" thickBot="1" x14ac:dyDescent="0.3">
      <c r="A262" s="255"/>
      <c r="B262" s="255"/>
      <c r="C262" s="319" t="s">
        <v>885</v>
      </c>
      <c r="D262" s="320"/>
      <c r="E262" s="272"/>
      <c r="F262" s="72"/>
      <c r="G262" s="235"/>
    </row>
    <row r="263" spans="1:7" ht="15.75" thickBot="1" x14ac:dyDescent="0.3">
      <c r="A263" s="255"/>
      <c r="B263" s="255"/>
      <c r="C263" s="72"/>
      <c r="D263" s="72"/>
      <c r="E263" s="258"/>
      <c r="F263" s="72"/>
      <c r="G263" s="235"/>
    </row>
    <row r="264" spans="1:7" s="15" customFormat="1" ht="92.25" customHeight="1" thickBot="1" x14ac:dyDescent="0.3">
      <c r="A264" s="255">
        <v>36</v>
      </c>
      <c r="B264" s="255" t="s">
        <v>25</v>
      </c>
      <c r="C264" s="659" t="s">
        <v>886</v>
      </c>
      <c r="D264" s="726"/>
      <c r="E264" s="261">
        <v>4</v>
      </c>
      <c r="F264" s="72"/>
      <c r="G264" s="223" t="s">
        <v>299</v>
      </c>
    </row>
    <row r="265" spans="1:7" s="15" customFormat="1" ht="27.75" customHeight="1" x14ac:dyDescent="0.25">
      <c r="A265" s="255"/>
      <c r="B265" s="255"/>
      <c r="C265" s="217">
        <v>0</v>
      </c>
      <c r="D265" s="213" t="s">
        <v>891</v>
      </c>
      <c r="E265" s="303"/>
      <c r="F265" s="72"/>
      <c r="G265" s="235"/>
    </row>
    <row r="266" spans="1:7" s="15" customFormat="1" ht="27.75" customHeight="1" x14ac:dyDescent="0.25">
      <c r="A266" s="255"/>
      <c r="B266" s="255"/>
      <c r="C266" s="217">
        <v>1</v>
      </c>
      <c r="D266" s="213" t="s">
        <v>892</v>
      </c>
      <c r="E266" s="303"/>
      <c r="F266" s="72"/>
      <c r="G266" s="235"/>
    </row>
    <row r="267" spans="1:7" s="15" customFormat="1" ht="27.75" customHeight="1" x14ac:dyDescent="0.25">
      <c r="A267" s="255"/>
      <c r="B267" s="255"/>
      <c r="C267" s="217">
        <v>2</v>
      </c>
      <c r="D267" s="213" t="s">
        <v>893</v>
      </c>
      <c r="E267" s="303"/>
      <c r="F267" s="72"/>
      <c r="G267" s="235"/>
    </row>
    <row r="268" spans="1:7" s="15" customFormat="1" ht="27.75" customHeight="1" x14ac:dyDescent="0.25">
      <c r="A268" s="255"/>
      <c r="B268" s="255"/>
      <c r="C268" s="217">
        <v>3</v>
      </c>
      <c r="D268" s="213" t="s">
        <v>894</v>
      </c>
      <c r="E268" s="303"/>
      <c r="F268" s="72"/>
      <c r="G268" s="235"/>
    </row>
    <row r="269" spans="1:7" s="15" customFormat="1" ht="27.75" customHeight="1" x14ac:dyDescent="0.25">
      <c r="A269" s="255"/>
      <c r="B269" s="255"/>
      <c r="C269" s="217">
        <v>4</v>
      </c>
      <c r="D269" s="213" t="s">
        <v>895</v>
      </c>
      <c r="E269" s="303"/>
      <c r="F269" s="72"/>
      <c r="G269" s="235"/>
    </row>
    <row r="270" spans="1:7" s="15" customFormat="1" ht="15.75" thickBot="1" x14ac:dyDescent="0.3">
      <c r="A270" s="255"/>
      <c r="B270" s="255"/>
      <c r="C270" s="645" t="s">
        <v>103</v>
      </c>
      <c r="D270" s="646"/>
      <c r="E270" s="263">
        <f>E264</f>
        <v>4</v>
      </c>
      <c r="F270" s="72"/>
      <c r="G270" s="235"/>
    </row>
    <row r="271" spans="1:7" s="15" customFormat="1" ht="15.75" thickBot="1" x14ac:dyDescent="0.3">
      <c r="A271" s="255"/>
      <c r="B271" s="255"/>
      <c r="C271" s="72"/>
      <c r="D271" s="72"/>
      <c r="E271" s="258"/>
      <c r="F271" s="72"/>
      <c r="G271" s="235"/>
    </row>
    <row r="272" spans="1:7" s="15" customFormat="1" ht="81.75" customHeight="1" thickBot="1" x14ac:dyDescent="0.3">
      <c r="A272" s="255">
        <v>37</v>
      </c>
      <c r="B272" s="255" t="s">
        <v>81</v>
      </c>
      <c r="C272" s="733" t="s">
        <v>227</v>
      </c>
      <c r="D272" s="734"/>
      <c r="E272" s="261">
        <v>4</v>
      </c>
      <c r="F272" s="72"/>
      <c r="G272" s="223" t="s">
        <v>300</v>
      </c>
    </row>
    <row r="273" spans="1:7" s="15" customFormat="1" ht="18" customHeight="1" x14ac:dyDescent="0.25">
      <c r="A273" s="255"/>
      <c r="B273" s="255"/>
      <c r="C273" s="217">
        <v>0</v>
      </c>
      <c r="D273" s="314" t="s">
        <v>896</v>
      </c>
      <c r="E273" s="303"/>
      <c r="F273" s="72"/>
      <c r="G273" s="235"/>
    </row>
    <row r="274" spans="1:7" s="15" customFormat="1" ht="18" customHeight="1" x14ac:dyDescent="0.25">
      <c r="A274" s="255"/>
      <c r="B274" s="255"/>
      <c r="C274" s="217">
        <v>1</v>
      </c>
      <c r="D274" s="314" t="s">
        <v>897</v>
      </c>
      <c r="E274" s="303"/>
      <c r="F274" s="72"/>
      <c r="G274" s="235"/>
    </row>
    <row r="275" spans="1:7" s="15" customFormat="1" ht="27" customHeight="1" x14ac:dyDescent="0.25">
      <c r="A275" s="255"/>
      <c r="B275" s="255"/>
      <c r="C275" s="217">
        <v>2</v>
      </c>
      <c r="D275" s="314" t="s">
        <v>898</v>
      </c>
      <c r="E275" s="303"/>
      <c r="F275" s="72"/>
      <c r="G275" s="235"/>
    </row>
    <row r="276" spans="1:7" s="15" customFormat="1" ht="54" customHeight="1" x14ac:dyDescent="0.25">
      <c r="A276" s="255"/>
      <c r="B276" s="255"/>
      <c r="C276" s="217">
        <v>3</v>
      </c>
      <c r="D276" s="314" t="s">
        <v>899</v>
      </c>
      <c r="E276" s="303"/>
      <c r="F276" s="72"/>
      <c r="G276" s="235"/>
    </row>
    <row r="277" spans="1:7" s="15" customFormat="1" ht="54" customHeight="1" x14ac:dyDescent="0.25">
      <c r="A277" s="255"/>
      <c r="B277" s="255"/>
      <c r="C277" s="217">
        <v>4</v>
      </c>
      <c r="D277" s="314" t="s">
        <v>900</v>
      </c>
      <c r="E277" s="303"/>
      <c r="F277" s="72"/>
      <c r="G277" s="235"/>
    </row>
    <row r="278" spans="1:7" s="15" customFormat="1" ht="15.75" thickBot="1" x14ac:dyDescent="0.3">
      <c r="A278" s="255"/>
      <c r="B278" s="255"/>
      <c r="C278" s="645" t="s">
        <v>103</v>
      </c>
      <c r="D278" s="646"/>
      <c r="E278" s="263">
        <f>E272</f>
        <v>4</v>
      </c>
      <c r="F278" s="72"/>
      <c r="G278" s="235"/>
    </row>
    <row r="279" spans="1:7" s="15" customFormat="1" ht="15.75" thickBot="1" x14ac:dyDescent="0.3">
      <c r="A279" s="255"/>
      <c r="B279" s="255"/>
      <c r="C279" s="72"/>
      <c r="D279" s="72"/>
      <c r="E279" s="258"/>
      <c r="F279" s="72"/>
      <c r="G279" s="235"/>
    </row>
    <row r="280" spans="1:7" s="15" customFormat="1" ht="109.5" customHeight="1" thickBot="1" x14ac:dyDescent="0.3">
      <c r="A280" s="255">
        <v>38</v>
      </c>
      <c r="B280" s="255" t="s">
        <v>202</v>
      </c>
      <c r="C280" s="659" t="s">
        <v>919</v>
      </c>
      <c r="D280" s="660"/>
      <c r="E280" s="265"/>
      <c r="F280" s="72"/>
      <c r="G280" s="223" t="s">
        <v>301</v>
      </c>
    </row>
    <row r="281" spans="1:7" s="15" customFormat="1" x14ac:dyDescent="0.25">
      <c r="A281" s="255"/>
      <c r="B281" s="255"/>
      <c r="C281" s="66" t="s">
        <v>219</v>
      </c>
      <c r="D281" s="67"/>
      <c r="E281" s="266">
        <v>4</v>
      </c>
      <c r="F281" s="72"/>
      <c r="G281" s="235"/>
    </row>
    <row r="282" spans="1:7" s="15" customFormat="1" ht="15.75" thickBot="1" x14ac:dyDescent="0.3">
      <c r="A282" s="255"/>
      <c r="B282" s="255"/>
      <c r="C282" s="723" t="s">
        <v>103</v>
      </c>
      <c r="D282" s="724"/>
      <c r="E282" s="263">
        <f>E281</f>
        <v>4</v>
      </c>
      <c r="F282" s="72"/>
      <c r="G282" s="235"/>
    </row>
    <row r="283" spans="1:7" s="15" customFormat="1" ht="15.75" thickBot="1" x14ac:dyDescent="0.3">
      <c r="A283" s="255"/>
      <c r="B283" s="255"/>
      <c r="C283" s="72"/>
      <c r="D283" s="72"/>
      <c r="E283" s="258"/>
      <c r="F283" s="72"/>
      <c r="G283" s="235"/>
    </row>
    <row r="284" spans="1:7" s="15" customFormat="1" ht="97.5" customHeight="1" thickBot="1" x14ac:dyDescent="0.3">
      <c r="A284" s="255">
        <v>39</v>
      </c>
      <c r="B284" s="255" t="s">
        <v>203</v>
      </c>
      <c r="C284" s="659" t="s">
        <v>920</v>
      </c>
      <c r="D284" s="660"/>
      <c r="E284" s="265"/>
      <c r="F284" s="72"/>
      <c r="G284" s="223" t="s">
        <v>302</v>
      </c>
    </row>
    <row r="285" spans="1:7" s="15" customFormat="1" x14ac:dyDescent="0.25">
      <c r="A285" s="255"/>
      <c r="B285" s="255"/>
      <c r="C285" s="66" t="s">
        <v>219</v>
      </c>
      <c r="D285" s="67"/>
      <c r="E285" s="266">
        <v>4</v>
      </c>
      <c r="F285" s="72"/>
      <c r="G285" s="235"/>
    </row>
    <row r="286" spans="1:7" s="15" customFormat="1" ht="15.75" thickBot="1" x14ac:dyDescent="0.3">
      <c r="A286" s="255"/>
      <c r="B286" s="255"/>
      <c r="C286" s="723" t="s">
        <v>103</v>
      </c>
      <c r="D286" s="724"/>
      <c r="E286" s="263">
        <f>E285</f>
        <v>4</v>
      </c>
      <c r="F286" s="72"/>
      <c r="G286" s="235"/>
    </row>
    <row r="287" spans="1:7" x14ac:dyDescent="0.25">
      <c r="A287" s="255"/>
      <c r="B287" s="255"/>
      <c r="C287" s="72"/>
      <c r="D287" s="72"/>
      <c r="E287" s="258"/>
      <c r="F287" s="72"/>
      <c r="G287" s="235"/>
    </row>
    <row r="288" spans="1:7" ht="15.75" thickBot="1" x14ac:dyDescent="0.3">
      <c r="A288" s="255"/>
      <c r="B288" s="255"/>
      <c r="C288" s="72"/>
      <c r="D288" s="72"/>
      <c r="E288" s="258"/>
      <c r="F288" s="72"/>
      <c r="G288" s="235"/>
    </row>
    <row r="289" spans="1:7" s="15" customFormat="1" ht="70.5" customHeight="1" thickBot="1" x14ac:dyDescent="0.3">
      <c r="A289" s="255">
        <v>40</v>
      </c>
      <c r="B289" s="255" t="s">
        <v>27</v>
      </c>
      <c r="C289" s="725" t="s">
        <v>140</v>
      </c>
      <c r="D289" s="726"/>
      <c r="E289" s="261">
        <v>4</v>
      </c>
      <c r="F289" s="72"/>
      <c r="G289" s="223" t="s">
        <v>303</v>
      </c>
    </row>
    <row r="290" spans="1:7" s="15" customFormat="1" ht="18.75" customHeight="1" x14ac:dyDescent="0.25">
      <c r="A290" s="255"/>
      <c r="B290" s="255"/>
      <c r="C290" s="217">
        <v>0</v>
      </c>
      <c r="D290" s="100" t="s">
        <v>350</v>
      </c>
      <c r="E290" s="303"/>
      <c r="F290" s="72"/>
      <c r="G290" s="235"/>
    </row>
    <row r="291" spans="1:7" s="15" customFormat="1" ht="31.5" customHeight="1" x14ac:dyDescent="0.25">
      <c r="A291" s="255"/>
      <c r="B291" s="255"/>
      <c r="C291" s="217">
        <v>1</v>
      </c>
      <c r="D291" s="100" t="s">
        <v>901</v>
      </c>
      <c r="E291" s="303"/>
      <c r="F291" s="72"/>
      <c r="G291" s="235"/>
    </row>
    <row r="292" spans="1:7" s="15" customFormat="1" ht="31.5" customHeight="1" x14ac:dyDescent="0.25">
      <c r="A292" s="255"/>
      <c r="B292" s="255"/>
      <c r="C292" s="217">
        <v>2</v>
      </c>
      <c r="D292" s="100" t="s">
        <v>902</v>
      </c>
      <c r="E292" s="303"/>
      <c r="F292" s="72"/>
      <c r="G292" s="235"/>
    </row>
    <row r="293" spans="1:7" s="15" customFormat="1" ht="31.5" customHeight="1" x14ac:dyDescent="0.25">
      <c r="A293" s="255"/>
      <c r="B293" s="255"/>
      <c r="C293" s="217">
        <v>3</v>
      </c>
      <c r="D293" s="100" t="s">
        <v>903</v>
      </c>
      <c r="E293" s="303"/>
      <c r="F293" s="72"/>
      <c r="G293" s="235"/>
    </row>
    <row r="294" spans="1:7" s="15" customFormat="1" ht="31.5" customHeight="1" x14ac:dyDescent="0.25">
      <c r="A294" s="255"/>
      <c r="B294" s="255"/>
      <c r="C294" s="217">
        <v>4</v>
      </c>
      <c r="D294" s="100" t="s">
        <v>904</v>
      </c>
      <c r="E294" s="303"/>
      <c r="F294" s="72"/>
      <c r="G294" s="235"/>
    </row>
    <row r="295" spans="1:7" s="15" customFormat="1" ht="15.75" thickBot="1" x14ac:dyDescent="0.3">
      <c r="A295" s="255"/>
      <c r="B295" s="255"/>
      <c r="C295" s="645" t="s">
        <v>103</v>
      </c>
      <c r="D295" s="646"/>
      <c r="E295" s="263">
        <f>E289</f>
        <v>4</v>
      </c>
      <c r="F295" s="72"/>
      <c r="G295" s="235"/>
    </row>
    <row r="296" spans="1:7" s="15" customFormat="1" ht="15.75" thickBot="1" x14ac:dyDescent="0.3">
      <c r="A296" s="255"/>
      <c r="B296" s="255"/>
      <c r="C296" s="72"/>
      <c r="D296" s="72"/>
      <c r="E296" s="258"/>
      <c r="F296" s="72"/>
      <c r="G296" s="235"/>
    </row>
    <row r="297" spans="1:7" s="15" customFormat="1" ht="118.5" customHeight="1" thickBot="1" x14ac:dyDescent="0.3">
      <c r="A297" s="255">
        <v>41</v>
      </c>
      <c r="B297" s="255" t="s">
        <v>205</v>
      </c>
      <c r="C297" s="659" t="s">
        <v>917</v>
      </c>
      <c r="D297" s="660"/>
      <c r="E297" s="265"/>
      <c r="F297" s="72"/>
      <c r="G297" s="223" t="s">
        <v>304</v>
      </c>
    </row>
    <row r="298" spans="1:7" s="15" customFormat="1" x14ac:dyDescent="0.25">
      <c r="A298" s="255"/>
      <c r="B298" s="255"/>
      <c r="C298" s="66" t="s">
        <v>219</v>
      </c>
      <c r="D298" s="67"/>
      <c r="E298" s="266">
        <v>4</v>
      </c>
      <c r="F298" s="72"/>
      <c r="G298" s="235"/>
    </row>
    <row r="299" spans="1:7" s="15" customFormat="1" ht="15.75" thickBot="1" x14ac:dyDescent="0.3">
      <c r="A299" s="255"/>
      <c r="B299" s="255"/>
      <c r="C299" s="723" t="s">
        <v>103</v>
      </c>
      <c r="D299" s="724"/>
      <c r="E299" s="263">
        <f>E298</f>
        <v>4</v>
      </c>
      <c r="F299" s="72"/>
      <c r="G299" s="235"/>
    </row>
    <row r="300" spans="1:7" s="15" customFormat="1" ht="15.75" thickBot="1" x14ac:dyDescent="0.3">
      <c r="A300" s="255"/>
      <c r="B300" s="255"/>
      <c r="C300" s="72"/>
      <c r="D300" s="72"/>
      <c r="E300" s="258"/>
      <c r="F300" s="72"/>
      <c r="G300" s="235"/>
    </row>
    <row r="301" spans="1:7" s="15" customFormat="1" ht="96.75" customHeight="1" thickBot="1" x14ac:dyDescent="0.3">
      <c r="A301" s="255">
        <v>42</v>
      </c>
      <c r="B301" s="255" t="s">
        <v>206</v>
      </c>
      <c r="C301" s="659" t="s">
        <v>918</v>
      </c>
      <c r="D301" s="660"/>
      <c r="E301" s="265"/>
      <c r="F301" s="72"/>
      <c r="G301" s="223" t="s">
        <v>305</v>
      </c>
    </row>
    <row r="302" spans="1:7" s="15" customFormat="1" x14ac:dyDescent="0.25">
      <c r="A302" s="255"/>
      <c r="B302" s="255"/>
      <c r="C302" s="66" t="s">
        <v>219</v>
      </c>
      <c r="D302" s="67"/>
      <c r="E302" s="266">
        <v>4</v>
      </c>
      <c r="F302" s="72"/>
      <c r="G302" s="235"/>
    </row>
    <row r="303" spans="1:7" s="15" customFormat="1" ht="15.75" thickBot="1" x14ac:dyDescent="0.3">
      <c r="A303" s="255"/>
      <c r="B303" s="255"/>
      <c r="C303" s="723" t="s">
        <v>103</v>
      </c>
      <c r="D303" s="724"/>
      <c r="E303" s="263">
        <f>E302</f>
        <v>4</v>
      </c>
      <c r="F303" s="72"/>
      <c r="G303" s="235"/>
    </row>
    <row r="304" spans="1:7" s="15" customFormat="1" ht="15.75" thickBot="1" x14ac:dyDescent="0.3">
      <c r="A304" s="255"/>
      <c r="B304" s="255"/>
      <c r="C304" s="72"/>
      <c r="D304" s="72"/>
      <c r="E304" s="258"/>
      <c r="F304" s="72"/>
      <c r="G304" s="235"/>
    </row>
    <row r="305" spans="1:7" ht="72" customHeight="1" thickBot="1" x14ac:dyDescent="0.3">
      <c r="A305" s="255">
        <v>43</v>
      </c>
      <c r="B305" s="255" t="s">
        <v>29</v>
      </c>
      <c r="C305" s="725" t="s">
        <v>141</v>
      </c>
      <c r="D305" s="726"/>
      <c r="E305" s="261">
        <v>4</v>
      </c>
      <c r="F305" s="72"/>
      <c r="G305" s="223" t="s">
        <v>306</v>
      </c>
    </row>
    <row r="306" spans="1:7" s="15" customFormat="1" ht="21" customHeight="1" x14ac:dyDescent="0.25">
      <c r="A306" s="255"/>
      <c r="B306" s="255"/>
      <c r="C306" s="217">
        <v>0</v>
      </c>
      <c r="D306" s="100" t="s">
        <v>350</v>
      </c>
      <c r="E306" s="303"/>
      <c r="F306" s="72"/>
      <c r="G306" s="235"/>
    </row>
    <row r="307" spans="1:7" s="15" customFormat="1" ht="32.25" customHeight="1" x14ac:dyDescent="0.25">
      <c r="A307" s="255"/>
      <c r="B307" s="255"/>
      <c r="C307" s="217">
        <v>1</v>
      </c>
      <c r="D307" s="100" t="s">
        <v>905</v>
      </c>
      <c r="E307" s="303"/>
      <c r="F307" s="72"/>
      <c r="G307" s="235"/>
    </row>
    <row r="308" spans="1:7" s="15" customFormat="1" ht="32.25" customHeight="1" x14ac:dyDescent="0.25">
      <c r="A308" s="255"/>
      <c r="B308" s="255"/>
      <c r="C308" s="217">
        <v>2</v>
      </c>
      <c r="D308" s="100" t="s">
        <v>906</v>
      </c>
      <c r="E308" s="303"/>
      <c r="F308" s="72"/>
      <c r="G308" s="235"/>
    </row>
    <row r="309" spans="1:7" s="15" customFormat="1" ht="32.25" customHeight="1" x14ac:dyDescent="0.25">
      <c r="A309" s="255"/>
      <c r="B309" s="255"/>
      <c r="C309" s="217">
        <v>3</v>
      </c>
      <c r="D309" s="100" t="s">
        <v>907</v>
      </c>
      <c r="E309" s="303"/>
      <c r="F309" s="72"/>
      <c r="G309" s="235"/>
    </row>
    <row r="310" spans="1:7" s="15" customFormat="1" ht="32.25" customHeight="1" x14ac:dyDescent="0.25">
      <c r="A310" s="255"/>
      <c r="B310" s="255"/>
      <c r="C310" s="217">
        <v>4</v>
      </c>
      <c r="D310" s="100" t="s">
        <v>908</v>
      </c>
      <c r="E310" s="303"/>
      <c r="F310" s="72"/>
      <c r="G310" s="235"/>
    </row>
    <row r="311" spans="1:7" ht="15.75" thickBot="1" x14ac:dyDescent="0.3">
      <c r="A311" s="255"/>
      <c r="B311" s="255"/>
      <c r="C311" s="645" t="s">
        <v>103</v>
      </c>
      <c r="D311" s="646"/>
      <c r="E311" s="263">
        <f>E305</f>
        <v>4</v>
      </c>
      <c r="F311" s="72"/>
      <c r="G311" s="235"/>
    </row>
    <row r="312" spans="1:7" ht="15.75" thickBot="1" x14ac:dyDescent="0.3">
      <c r="A312" s="255"/>
      <c r="B312" s="255"/>
      <c r="C312" s="72"/>
      <c r="D312" s="72"/>
      <c r="E312" s="258"/>
      <c r="F312" s="72"/>
      <c r="G312" s="235"/>
    </row>
    <row r="313" spans="1:7" ht="66.75" customHeight="1" thickBot="1" x14ac:dyDescent="0.3">
      <c r="A313" s="255">
        <v>44</v>
      </c>
      <c r="B313" s="255" t="s">
        <v>30</v>
      </c>
      <c r="C313" s="659" t="s">
        <v>912</v>
      </c>
      <c r="D313" s="660"/>
      <c r="E313" s="261">
        <v>4</v>
      </c>
      <c r="F313" s="72"/>
      <c r="G313" s="223" t="s">
        <v>909</v>
      </c>
    </row>
    <row r="314" spans="1:7" s="15" customFormat="1" ht="18" customHeight="1" x14ac:dyDescent="0.25">
      <c r="A314" s="255"/>
      <c r="B314" s="255"/>
      <c r="C314" s="217">
        <v>0</v>
      </c>
      <c r="D314" s="213" t="s">
        <v>666</v>
      </c>
      <c r="E314" s="303"/>
      <c r="F314" s="72"/>
      <c r="G314" s="235"/>
    </row>
    <row r="315" spans="1:7" s="15" customFormat="1" ht="18" customHeight="1" x14ac:dyDescent="0.25">
      <c r="A315" s="255"/>
      <c r="B315" s="255"/>
      <c r="C315" s="217">
        <v>1</v>
      </c>
      <c r="D315" s="213" t="s">
        <v>667</v>
      </c>
      <c r="E315" s="303"/>
      <c r="F315" s="72"/>
      <c r="G315" s="235"/>
    </row>
    <row r="316" spans="1:7" s="15" customFormat="1" ht="41.25" customHeight="1" x14ac:dyDescent="0.25">
      <c r="A316" s="255"/>
      <c r="B316" s="255"/>
      <c r="C316" s="217">
        <v>2</v>
      </c>
      <c r="D316" s="213" t="s">
        <v>668</v>
      </c>
      <c r="E316" s="303"/>
      <c r="F316" s="72"/>
      <c r="G316" s="235"/>
    </row>
    <row r="317" spans="1:7" s="15" customFormat="1" ht="41.25" customHeight="1" x14ac:dyDescent="0.25">
      <c r="A317" s="255"/>
      <c r="B317" s="255"/>
      <c r="C317" s="217">
        <v>3</v>
      </c>
      <c r="D317" s="213" t="s">
        <v>669</v>
      </c>
      <c r="E317" s="303"/>
      <c r="F317" s="72"/>
      <c r="G317" s="235"/>
    </row>
    <row r="318" spans="1:7" s="15" customFormat="1" ht="41.25" customHeight="1" x14ac:dyDescent="0.25">
      <c r="A318" s="255"/>
      <c r="B318" s="255"/>
      <c r="C318" s="217">
        <v>4</v>
      </c>
      <c r="D318" s="213" t="s">
        <v>913</v>
      </c>
      <c r="E318" s="303"/>
      <c r="F318" s="72"/>
      <c r="G318" s="235"/>
    </row>
    <row r="319" spans="1:7" ht="15.75" thickBot="1" x14ac:dyDescent="0.3">
      <c r="A319" s="255"/>
      <c r="B319" s="255"/>
      <c r="C319" s="645" t="s">
        <v>103</v>
      </c>
      <c r="D319" s="646"/>
      <c r="E319" s="263">
        <f>E313</f>
        <v>4</v>
      </c>
      <c r="F319" s="72"/>
      <c r="G319" s="235"/>
    </row>
    <row r="320" spans="1:7" ht="15.75" thickBot="1" x14ac:dyDescent="0.3">
      <c r="A320" s="255"/>
      <c r="B320" s="255"/>
      <c r="C320" s="72"/>
      <c r="D320" s="72"/>
      <c r="E320" s="258"/>
      <c r="F320" s="72"/>
      <c r="G320" s="235"/>
    </row>
    <row r="321" spans="1:7" ht="68.25" customHeight="1" thickBot="1" x14ac:dyDescent="0.3">
      <c r="A321" s="255">
        <v>45</v>
      </c>
      <c r="B321" s="255" t="s">
        <v>31</v>
      </c>
      <c r="C321" s="659" t="s">
        <v>911</v>
      </c>
      <c r="D321" s="660"/>
      <c r="E321" s="261">
        <v>4</v>
      </c>
      <c r="F321" s="72"/>
      <c r="G321" s="223" t="s">
        <v>910</v>
      </c>
    </row>
    <row r="322" spans="1:7" s="15" customFormat="1" ht="18" customHeight="1" x14ac:dyDescent="0.25">
      <c r="A322" s="255"/>
      <c r="B322" s="255"/>
      <c r="C322" s="217">
        <v>0</v>
      </c>
      <c r="D322" s="213" t="s">
        <v>666</v>
      </c>
      <c r="E322" s="303"/>
      <c r="F322" s="72"/>
      <c r="G322" s="235"/>
    </row>
    <row r="323" spans="1:7" s="15" customFormat="1" ht="18" customHeight="1" x14ac:dyDescent="0.25">
      <c r="A323" s="255"/>
      <c r="B323" s="255"/>
      <c r="C323" s="217">
        <v>1</v>
      </c>
      <c r="D323" s="213" t="s">
        <v>673</v>
      </c>
      <c r="E323" s="303"/>
      <c r="F323" s="72"/>
      <c r="G323" s="235"/>
    </row>
    <row r="324" spans="1:7" s="15" customFormat="1" ht="42" customHeight="1" x14ac:dyDescent="0.25">
      <c r="A324" s="255"/>
      <c r="B324" s="255"/>
      <c r="C324" s="217">
        <v>2</v>
      </c>
      <c r="D324" s="213" t="s">
        <v>914</v>
      </c>
      <c r="E324" s="303"/>
      <c r="F324" s="72"/>
      <c r="G324" s="235"/>
    </row>
    <row r="325" spans="1:7" s="15" customFormat="1" ht="42" customHeight="1" x14ac:dyDescent="0.25">
      <c r="A325" s="255"/>
      <c r="B325" s="255"/>
      <c r="C325" s="217">
        <v>3</v>
      </c>
      <c r="D325" s="213" t="s">
        <v>915</v>
      </c>
      <c r="E325" s="303"/>
      <c r="F325" s="72"/>
      <c r="G325" s="235"/>
    </row>
    <row r="326" spans="1:7" s="15" customFormat="1" ht="42" customHeight="1" x14ac:dyDescent="0.25">
      <c r="A326" s="255"/>
      <c r="B326" s="255"/>
      <c r="C326" s="217">
        <v>4</v>
      </c>
      <c r="D326" s="213" t="s">
        <v>676</v>
      </c>
      <c r="E326" s="303"/>
      <c r="F326" s="72"/>
      <c r="G326" s="235"/>
    </row>
    <row r="327" spans="1:7" ht="18.75" thickBot="1" x14ac:dyDescent="0.3">
      <c r="A327" s="77"/>
      <c r="B327" s="77"/>
      <c r="C327" s="645" t="s">
        <v>103</v>
      </c>
      <c r="D327" s="646"/>
      <c r="E327" s="263">
        <f>E321</f>
        <v>4</v>
      </c>
      <c r="F327" s="72"/>
      <c r="G327" s="235"/>
    </row>
    <row r="328" spans="1:7" ht="18" x14ac:dyDescent="0.25">
      <c r="A328" s="64"/>
      <c r="B328" s="64"/>
      <c r="C328" s="65"/>
      <c r="D328" s="65"/>
      <c r="E328" s="65"/>
      <c r="F328" s="65"/>
    </row>
    <row r="329" spans="1:7" ht="18" x14ac:dyDescent="0.25">
      <c r="A329" s="62"/>
      <c r="B329" s="62"/>
      <c r="C329" s="63"/>
      <c r="D329" s="63"/>
      <c r="E329" s="63"/>
      <c r="F329" s="63"/>
    </row>
    <row r="330" spans="1:7" ht="18" x14ac:dyDescent="0.25">
      <c r="A330" s="62"/>
      <c r="B330" s="62"/>
      <c r="C330" s="63"/>
      <c r="D330" s="63"/>
      <c r="E330" s="63"/>
      <c r="F330" s="63"/>
    </row>
    <row r="331" spans="1:7" ht="18" x14ac:dyDescent="0.25">
      <c r="A331" s="62"/>
      <c r="B331" s="62"/>
      <c r="C331" s="63"/>
      <c r="D331" s="63"/>
      <c r="E331" s="63"/>
      <c r="F331" s="63"/>
    </row>
    <row r="332" spans="1:7" ht="18" x14ac:dyDescent="0.25">
      <c r="A332" s="62"/>
      <c r="B332" s="62"/>
      <c r="C332" s="63"/>
      <c r="D332" s="63"/>
      <c r="E332" s="63"/>
      <c r="F332" s="63"/>
    </row>
    <row r="333" spans="1:7" ht="18" x14ac:dyDescent="0.25">
      <c r="A333" s="62"/>
      <c r="B333" s="62"/>
      <c r="C333" s="63"/>
      <c r="D333" s="63"/>
      <c r="E333" s="63"/>
      <c r="F333" s="63"/>
    </row>
    <row r="334" spans="1:7" ht="18" x14ac:dyDescent="0.25">
      <c r="A334" s="62"/>
      <c r="B334" s="62"/>
      <c r="C334" s="63"/>
      <c r="D334" s="63"/>
      <c r="E334" s="63"/>
      <c r="F334" s="63"/>
    </row>
    <row r="335" spans="1:7" ht="18" x14ac:dyDescent="0.25">
      <c r="A335" s="62"/>
      <c r="B335" s="62"/>
      <c r="C335" s="63"/>
      <c r="D335" s="63"/>
      <c r="E335" s="63"/>
      <c r="F335" s="63"/>
    </row>
    <row r="336" spans="1:7" ht="18" x14ac:dyDescent="0.25">
      <c r="A336" s="62"/>
      <c r="B336" s="62"/>
      <c r="C336" s="63"/>
      <c r="D336" s="63"/>
      <c r="E336" s="63"/>
      <c r="F336" s="63"/>
    </row>
    <row r="337" spans="1:6" ht="18" x14ac:dyDescent="0.25">
      <c r="A337" s="63"/>
      <c r="B337" s="63"/>
      <c r="C337" s="63"/>
      <c r="D337" s="63"/>
      <c r="E337" s="63"/>
      <c r="F337" s="63"/>
    </row>
    <row r="338" spans="1:6" ht="18" x14ac:dyDescent="0.25">
      <c r="A338" s="63"/>
      <c r="B338" s="63"/>
      <c r="C338" s="63"/>
      <c r="D338" s="63"/>
      <c r="E338" s="63"/>
      <c r="F338" s="63"/>
    </row>
    <row r="339" spans="1:6" ht="18" x14ac:dyDescent="0.25">
      <c r="A339" s="63"/>
      <c r="B339" s="63"/>
      <c r="C339" s="63"/>
      <c r="D339" s="63"/>
      <c r="E339" s="63"/>
      <c r="F339" s="63"/>
    </row>
    <row r="340" spans="1:6" ht="18" x14ac:dyDescent="0.25">
      <c r="A340" s="63"/>
      <c r="B340" s="63"/>
      <c r="C340" s="63"/>
      <c r="D340" s="63"/>
      <c r="E340" s="63"/>
      <c r="F340" s="63"/>
    </row>
    <row r="341" spans="1:6" ht="18" x14ac:dyDescent="0.25">
      <c r="A341" s="63"/>
      <c r="B341" s="63"/>
      <c r="C341" s="63"/>
      <c r="D341" s="63"/>
      <c r="E341" s="63"/>
      <c r="F341" s="63"/>
    </row>
    <row r="342" spans="1:6" ht="18" x14ac:dyDescent="0.25">
      <c r="A342" s="63"/>
      <c r="B342" s="63"/>
      <c r="C342" s="63"/>
      <c r="D342" s="63"/>
      <c r="E342" s="63"/>
      <c r="F342" s="63"/>
    </row>
    <row r="343" spans="1:6" ht="18" x14ac:dyDescent="0.25">
      <c r="A343" s="63"/>
      <c r="B343" s="63"/>
      <c r="C343" s="63"/>
      <c r="D343" s="63"/>
      <c r="E343" s="63"/>
      <c r="F343" s="63"/>
    </row>
    <row r="344" spans="1:6" ht="18" x14ac:dyDescent="0.25">
      <c r="A344" s="63"/>
      <c r="B344" s="63"/>
      <c r="C344" s="63"/>
      <c r="D344" s="63"/>
      <c r="E344" s="63"/>
      <c r="F344" s="63"/>
    </row>
    <row r="345" spans="1:6" ht="18" x14ac:dyDescent="0.25">
      <c r="A345" s="63"/>
      <c r="B345" s="63"/>
      <c r="C345" s="63"/>
      <c r="D345" s="63"/>
      <c r="E345" s="63"/>
      <c r="F345" s="63"/>
    </row>
    <row r="346" spans="1:6" ht="18" x14ac:dyDescent="0.25">
      <c r="A346" s="63"/>
      <c r="B346" s="63"/>
      <c r="C346" s="63"/>
      <c r="D346" s="63"/>
      <c r="E346" s="63"/>
      <c r="F346" s="63"/>
    </row>
    <row r="347" spans="1:6" ht="18" x14ac:dyDescent="0.25">
      <c r="A347" s="63"/>
      <c r="B347" s="63"/>
      <c r="C347" s="63"/>
      <c r="D347" s="63"/>
      <c r="E347" s="63"/>
      <c r="F347" s="63"/>
    </row>
    <row r="348" spans="1:6" ht="18" x14ac:dyDescent="0.25">
      <c r="A348" s="63"/>
      <c r="B348" s="63"/>
      <c r="C348" s="63"/>
      <c r="D348" s="63"/>
      <c r="E348" s="63"/>
      <c r="F348" s="63"/>
    </row>
    <row r="349" spans="1:6" ht="18" x14ac:dyDescent="0.25">
      <c r="A349" s="63"/>
      <c r="B349" s="63"/>
      <c r="C349" s="63"/>
      <c r="D349" s="63"/>
      <c r="E349" s="63"/>
      <c r="F349" s="63"/>
    </row>
    <row r="350" spans="1:6" ht="18" x14ac:dyDescent="0.25">
      <c r="A350" s="63"/>
      <c r="B350" s="63"/>
      <c r="C350" s="63"/>
      <c r="D350" s="63"/>
      <c r="E350" s="63"/>
      <c r="F350" s="63"/>
    </row>
    <row r="351" spans="1:6" ht="18" x14ac:dyDescent="0.25">
      <c r="A351" s="63"/>
      <c r="B351" s="63"/>
      <c r="C351" s="63"/>
      <c r="D351" s="63"/>
      <c r="E351" s="63"/>
      <c r="F351" s="63"/>
    </row>
    <row r="352" spans="1:6" ht="18" x14ac:dyDescent="0.25">
      <c r="A352" s="63"/>
      <c r="B352" s="63"/>
      <c r="C352" s="63"/>
      <c r="D352" s="63"/>
      <c r="E352" s="63"/>
      <c r="F352" s="63"/>
    </row>
    <row r="353" spans="1:6" ht="18" x14ac:dyDescent="0.25">
      <c r="A353" s="63"/>
      <c r="B353" s="63"/>
      <c r="C353" s="63"/>
      <c r="D353" s="63"/>
      <c r="E353" s="63"/>
      <c r="F353" s="63"/>
    </row>
    <row r="354" spans="1:6" ht="18" x14ac:dyDescent="0.25">
      <c r="A354" s="63"/>
      <c r="B354" s="63"/>
      <c r="C354" s="63"/>
      <c r="D354" s="63"/>
      <c r="E354" s="63"/>
      <c r="F354" s="63"/>
    </row>
    <row r="355" spans="1:6" ht="18" x14ac:dyDescent="0.25">
      <c r="A355" s="63"/>
      <c r="B355" s="63"/>
      <c r="C355" s="63"/>
      <c r="D355" s="63"/>
      <c r="E355" s="63"/>
      <c r="F355" s="63"/>
    </row>
    <row r="356" spans="1:6" ht="18" x14ac:dyDescent="0.25">
      <c r="A356" s="63"/>
      <c r="B356" s="63"/>
      <c r="C356" s="63"/>
      <c r="D356" s="63"/>
      <c r="E356" s="63"/>
      <c r="F356" s="63"/>
    </row>
    <row r="357" spans="1:6" ht="18" x14ac:dyDescent="0.25">
      <c r="A357" s="63"/>
      <c r="B357" s="63"/>
      <c r="C357" s="63"/>
      <c r="D357" s="63"/>
      <c r="E357" s="63"/>
      <c r="F357" s="63"/>
    </row>
    <row r="358" spans="1:6" ht="18" x14ac:dyDescent="0.25">
      <c r="A358" s="63"/>
      <c r="B358" s="63"/>
      <c r="C358" s="63"/>
      <c r="D358" s="63"/>
      <c r="E358" s="63"/>
      <c r="F358" s="63"/>
    </row>
    <row r="359" spans="1:6" ht="18" x14ac:dyDescent="0.25">
      <c r="A359" s="63"/>
      <c r="B359" s="63"/>
      <c r="C359" s="63"/>
      <c r="D359" s="63"/>
      <c r="E359" s="63"/>
      <c r="F359" s="63"/>
    </row>
    <row r="360" spans="1:6" ht="15.75" x14ac:dyDescent="0.25">
      <c r="A360" s="27"/>
      <c r="B360" s="27"/>
      <c r="C360" s="27"/>
      <c r="D360" s="27"/>
      <c r="E360" s="27"/>
      <c r="F360" s="27"/>
    </row>
    <row r="361" spans="1:6" ht="15.75" x14ac:dyDescent="0.25">
      <c r="A361" s="27"/>
      <c r="B361" s="27"/>
      <c r="C361" s="27"/>
      <c r="D361" s="27"/>
      <c r="E361" s="27"/>
      <c r="F361" s="27"/>
    </row>
  </sheetData>
  <sheetProtection password="C5FE" sheet="1" objects="1" scenarios="1" selectLockedCells="1"/>
  <mergeCells count="92">
    <mergeCell ref="G256:G257"/>
    <mergeCell ref="C191:D191"/>
    <mergeCell ref="C280:D280"/>
    <mergeCell ref="C241:D241"/>
    <mergeCell ref="C184:D184"/>
    <mergeCell ref="G188:G189"/>
    <mergeCell ref="C278:D278"/>
    <mergeCell ref="C97:D97"/>
    <mergeCell ref="C70:D70"/>
    <mergeCell ref="G79:G80"/>
    <mergeCell ref="G92:G93"/>
    <mergeCell ref="C9:D9"/>
    <mergeCell ref="C60:D60"/>
    <mergeCell ref="C68:D68"/>
    <mergeCell ref="C89:D89"/>
    <mergeCell ref="C16:D16"/>
    <mergeCell ref="C52:D52"/>
    <mergeCell ref="A1:E1"/>
    <mergeCell ref="C3:D3"/>
    <mergeCell ref="C4:D4"/>
    <mergeCell ref="C84:D84"/>
    <mergeCell ref="C82:D82"/>
    <mergeCell ref="C18:D18"/>
    <mergeCell ref="C33:D33"/>
    <mergeCell ref="C40:D40"/>
    <mergeCell ref="C23:D23"/>
    <mergeCell ref="C76:D76"/>
    <mergeCell ref="C11:D11"/>
    <mergeCell ref="C25:D25"/>
    <mergeCell ref="C47:D47"/>
    <mergeCell ref="C31:D31"/>
    <mergeCell ref="C38:D38"/>
    <mergeCell ref="C45:D45"/>
    <mergeCell ref="C130:D130"/>
    <mergeCell ref="C148:D148"/>
    <mergeCell ref="C132:D132"/>
    <mergeCell ref="C146:D146"/>
    <mergeCell ref="C99:D99"/>
    <mergeCell ref="C327:D327"/>
    <mergeCell ref="C311:D311"/>
    <mergeCell ref="C319:D319"/>
    <mergeCell ref="C199:D199"/>
    <mergeCell ref="C207:D207"/>
    <mergeCell ref="C215:D215"/>
    <mergeCell ref="C209:D209"/>
    <mergeCell ref="C239:D239"/>
    <mergeCell ref="C246:D246"/>
    <mergeCell ref="C297:D297"/>
    <mergeCell ref="C299:D299"/>
    <mergeCell ref="C301:D301"/>
    <mergeCell ref="C289:D289"/>
    <mergeCell ref="C270:D270"/>
    <mergeCell ref="C248:D248"/>
    <mergeCell ref="C272:D272"/>
    <mergeCell ref="C282:D282"/>
    <mergeCell ref="C284:D284"/>
    <mergeCell ref="C105:D105"/>
    <mergeCell ref="C107:D107"/>
    <mergeCell ref="G108:G109"/>
    <mergeCell ref="G114:G115"/>
    <mergeCell ref="C117:D117"/>
    <mergeCell ref="C119:D119"/>
    <mergeCell ref="G120:G121"/>
    <mergeCell ref="C140:D140"/>
    <mergeCell ref="C154:D154"/>
    <mergeCell ref="C111:D111"/>
    <mergeCell ref="C113:D113"/>
    <mergeCell ref="C123:D123"/>
    <mergeCell ref="C125:D125"/>
    <mergeCell ref="C138:D138"/>
    <mergeCell ref="C156:D156"/>
    <mergeCell ref="C193:D193"/>
    <mergeCell ref="C264:D264"/>
    <mergeCell ref="C261:D261"/>
    <mergeCell ref="C255:D255"/>
    <mergeCell ref="C163:D163"/>
    <mergeCell ref="C161:D161"/>
    <mergeCell ref="C177:D177"/>
    <mergeCell ref="C169:D169"/>
    <mergeCell ref="C185:D185"/>
    <mergeCell ref="C179:D179"/>
    <mergeCell ref="C171:D171"/>
    <mergeCell ref="C253:D253"/>
    <mergeCell ref="C187:D187"/>
    <mergeCell ref="C223:D223"/>
    <mergeCell ref="C231:D231"/>
    <mergeCell ref="C286:D286"/>
    <mergeCell ref="C295:D295"/>
    <mergeCell ref="C305:D305"/>
    <mergeCell ref="C313:D313"/>
    <mergeCell ref="C321:D321"/>
    <mergeCell ref="C303:D303"/>
  </mergeCells>
  <dataValidations xWindow="623" yWindow="591" count="8">
    <dataValidation type="decimal" allowBlank="1" showInputMessage="1" showErrorMessage="1" errorTitle="Salah isi!" error="Isi sel ini tidak boleh melebihi isi sel di atasnya." sqref="E109 E115 E121">
      <formula1>0</formula1>
      <formula2>E108</formula2>
    </dataValidation>
    <dataValidation type="decimal" operator="greaterThanOrEqual" allowBlank="1" showInputMessage="1" showErrorMessage="1" errorTitle="Salah isi!" error="Isi dengan nilai minimal sama dengan nilai pada sel di atasnya." sqref="E189">
      <formula1>E188</formula1>
    </dataValidation>
    <dataValidation type="decimal" allowBlank="1" showInputMessage="1" showErrorMessage="1" errorTitle="Salah isi!" error="Masukkan nilai antara 0 s.d. 12." promptTitle="Rentang nilai:" prompt="0 s.d. 12" sqref="E256:E259">
      <formula1>0</formula1>
      <formula2>12</formula2>
    </dataValidation>
    <dataValidation type="decimal" allowBlank="1" showInputMessage="1" showErrorMessage="1" errorTitle="Salah isi!" error="Masukkan nilai 1 s.d. 4." promptTitle="Rentang nilai:" prompt="1 s.d. 4." sqref="E4 E125 E84 E47 E40 E33 E18 E11 E156 E241 E248 E285 E302">
      <formula1>1</formula1>
      <formula2>4</formula2>
    </dataValidation>
    <dataValidation type="decimal" allowBlank="1" showInputMessage="1" showErrorMessage="1" errorTitle="Salah isi!" error="Rentang nilai 0 s.d. 4" promptTitle="Rentang Nilai" prompt="0 s.d. 4" sqref="E25 E225 E132 E99 E70 E62 E54 E140 E148 E163 E171 E193 E201 E209 E217 E233 E264 E272 E281 E289 E298 E305 E313 E321">
      <formula1>0</formula1>
      <formula2>4</formula2>
    </dataValidation>
    <dataValidation type="decimal" operator="greaterThanOrEqual" allowBlank="1" showInputMessage="1" showErrorMessage="1" sqref="E79:E80 E120 E108 E114 E188">
      <formula1>0</formula1>
    </dataValidation>
    <dataValidation type="decimal" allowBlank="1" showInputMessage="1" showErrorMessage="1" errorTitle="Salah isi!" error="Rentang nilai 0% s.d. 100%." promptTitle="Rentang nilai:" prompt="0% s.d. 100%." sqref="E92:E93">
      <formula1>0</formula1>
      <formula2>1</formula2>
    </dataValidation>
    <dataValidation type="decimal" allowBlank="1" showInputMessage="1" showErrorMessage="1" errorTitle="Salah isi!" error="Isikan dengan nilai dengan kisaran 1 s.d. 4." promptTitle="Kisaran nilai:" prompt="1 s.d. 4." sqref="E180:E183">
      <formula1>1</formula1>
      <formula2>4</formula2>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8"/>
  <sheetViews>
    <sheetView topLeftCell="A22" zoomScale="110" zoomScaleNormal="110" workbookViewId="0">
      <selection activeCell="D8" sqref="D8"/>
    </sheetView>
  </sheetViews>
  <sheetFormatPr defaultRowHeight="15" x14ac:dyDescent="0.25"/>
  <cols>
    <col min="1" max="1" width="5.85546875" style="2" customWidth="1"/>
    <col min="2" max="2" width="10.140625" style="5" customWidth="1"/>
    <col min="3" max="3" width="26.7109375" style="2" customWidth="1"/>
    <col min="4" max="4" width="30.140625" style="2" customWidth="1"/>
    <col min="5" max="5" width="16.42578125" style="2" customWidth="1"/>
  </cols>
  <sheetData>
    <row r="1" spans="1:16" s="39" customFormat="1" ht="35.25" customHeight="1" x14ac:dyDescent="0.25">
      <c r="A1" s="722" t="s">
        <v>925</v>
      </c>
      <c r="B1" s="722"/>
      <c r="C1" s="722"/>
      <c r="D1" s="722"/>
      <c r="E1" s="722"/>
    </row>
    <row r="2" spans="1:16" s="39" customFormat="1" ht="15.75" x14ac:dyDescent="0.25">
      <c r="A2" s="50"/>
      <c r="B2" s="44"/>
      <c r="C2" s="42"/>
      <c r="D2" s="42"/>
      <c r="E2" s="42"/>
    </row>
    <row r="3" spans="1:16" s="39" customFormat="1" ht="15.75" x14ac:dyDescent="0.25">
      <c r="A3" s="741" t="s">
        <v>85</v>
      </c>
      <c r="B3" s="741"/>
      <c r="C3" s="741"/>
      <c r="D3" s="741"/>
      <c r="E3" s="741"/>
    </row>
    <row r="4" spans="1:16" s="39" customFormat="1" ht="15.75" x14ac:dyDescent="0.25">
      <c r="A4" s="742" t="s">
        <v>926</v>
      </c>
      <c r="B4" s="742"/>
      <c r="C4" s="742"/>
      <c r="D4" s="742"/>
      <c r="E4" s="742"/>
    </row>
    <row r="5" spans="1:16" s="39" customFormat="1" ht="15.75" x14ac:dyDescent="0.25">
      <c r="A5" s="50"/>
      <c r="B5" s="44"/>
      <c r="C5" s="42"/>
      <c r="D5" s="42"/>
      <c r="E5" s="42"/>
    </row>
    <row r="6" spans="1:16" s="39" customFormat="1" ht="52.5" customHeight="1" x14ac:dyDescent="0.25">
      <c r="A6" s="743" t="s">
        <v>1010</v>
      </c>
      <c r="B6" s="743"/>
      <c r="C6" s="743"/>
      <c r="D6" s="743"/>
      <c r="E6" s="743"/>
      <c r="F6" s="161"/>
      <c r="G6" s="161"/>
      <c r="H6" s="161"/>
      <c r="I6" s="161"/>
      <c r="J6" s="161"/>
      <c r="K6" s="161"/>
      <c r="L6" s="161"/>
      <c r="M6" s="161"/>
      <c r="N6" s="161"/>
      <c r="O6" s="161"/>
    </row>
    <row r="7" spans="1:16" s="39" customFormat="1" ht="48.75" customHeight="1" thickBot="1" x14ac:dyDescent="0.3">
      <c r="A7" s="744" t="s">
        <v>86</v>
      </c>
      <c r="B7" s="744"/>
      <c r="C7" s="744"/>
      <c r="D7" s="744"/>
      <c r="E7" s="744"/>
      <c r="F7" s="94"/>
      <c r="G7" s="94"/>
      <c r="H7" s="94"/>
      <c r="I7" s="94"/>
      <c r="J7" s="94"/>
      <c r="K7" s="94"/>
      <c r="L7" s="94"/>
      <c r="M7" s="94"/>
      <c r="N7" s="94"/>
      <c r="O7" s="94"/>
      <c r="P7" s="94"/>
    </row>
    <row r="8" spans="1:16" s="30" customFormat="1" ht="65.25" customHeight="1" thickBot="1" x14ac:dyDescent="0.3">
      <c r="A8" s="112" t="s">
        <v>1</v>
      </c>
      <c r="B8" s="123" t="s">
        <v>2</v>
      </c>
      <c r="C8" s="123" t="s">
        <v>4</v>
      </c>
      <c r="D8" s="123" t="s">
        <v>87</v>
      </c>
      <c r="E8" s="124" t="s">
        <v>88</v>
      </c>
    </row>
    <row r="9" spans="1:16" s="30" customFormat="1" ht="100.5" customHeight="1" x14ac:dyDescent="0.25">
      <c r="A9" s="126">
        <f>'F1'!A14</f>
        <v>1</v>
      </c>
      <c r="B9" s="183" t="str">
        <f>'F1'!B14</f>
        <v>1.1.1</v>
      </c>
      <c r="C9" s="115" t="str">
        <f>'F1'!D14</f>
        <v>Visi, misi, dan tujuan PS: …</v>
      </c>
      <c r="D9" s="86"/>
      <c r="E9" s="460"/>
    </row>
    <row r="10" spans="1:16" s="30" customFormat="1" ht="86.25" customHeight="1" x14ac:dyDescent="0.25">
      <c r="A10" s="126">
        <f>'F1'!A15</f>
        <v>2</v>
      </c>
      <c r="B10" s="183" t="str">
        <f>'F1'!B15</f>
        <v>1.1.2</v>
      </c>
      <c r="C10" s="115" t="str">
        <f>'F1'!D15</f>
        <v>Strategi pencapaian sasaran: …</v>
      </c>
      <c r="D10" s="84"/>
      <c r="E10" s="461"/>
    </row>
    <row r="11" spans="1:16" s="30" customFormat="1" ht="105" customHeight="1" x14ac:dyDescent="0.25">
      <c r="A11" s="126">
        <f>'F1'!A16</f>
        <v>3</v>
      </c>
      <c r="B11" s="183">
        <f>'F1'!B16</f>
        <v>1.2</v>
      </c>
      <c r="C11" s="115" t="str">
        <f>'F1'!D16</f>
        <v>Tingkat pemahaman sivitas akademika (dosen dan mahasiswa) dan tenaga kependidikan terhadap VMTS: …</v>
      </c>
      <c r="D11" s="84"/>
      <c r="E11" s="461"/>
    </row>
    <row r="12" spans="1:16" s="30" customFormat="1" ht="81" customHeight="1" x14ac:dyDescent="0.25">
      <c r="A12" s="126">
        <f>'F1'!A17</f>
        <v>4</v>
      </c>
      <c r="B12" s="183">
        <f>'F1'!B17</f>
        <v>2.1</v>
      </c>
      <c r="C12" s="115" t="str">
        <f>'F1'!D17</f>
        <v>Tata pamong pada PS: …</v>
      </c>
      <c r="D12" s="84"/>
      <c r="E12" s="461"/>
    </row>
    <row r="13" spans="1:16" s="30" customFormat="1" ht="66" customHeight="1" x14ac:dyDescent="0.25">
      <c r="A13" s="126">
        <f>'F1'!A18</f>
        <v>5</v>
      </c>
      <c r="B13" s="183" t="str">
        <f>'F1'!B18</f>
        <v>2.2.1</v>
      </c>
      <c r="C13" s="115" t="str">
        <f>'F1'!D18</f>
        <v>Tingkat pendidikan KPS:…</v>
      </c>
      <c r="D13" s="84"/>
      <c r="E13" s="461"/>
    </row>
    <row r="14" spans="1:16" s="30" customFormat="1" ht="65.25" customHeight="1" x14ac:dyDescent="0.25">
      <c r="A14" s="126">
        <f>'F1'!A19</f>
        <v>6</v>
      </c>
      <c r="B14" s="183" t="str">
        <f>'F1'!B19</f>
        <v>2.2.2</v>
      </c>
      <c r="C14" s="115" t="str">
        <f>'F1'!D19</f>
        <v>Publikasi jurnal KPS:…</v>
      </c>
      <c r="D14" s="84"/>
      <c r="E14" s="461"/>
    </row>
    <row r="15" spans="1:16" s="30" customFormat="1" ht="87.75" customHeight="1" x14ac:dyDescent="0.25">
      <c r="A15" s="126">
        <f>'F1'!A20</f>
        <v>7</v>
      </c>
      <c r="B15" s="183" t="str">
        <f>'F1'!B20</f>
        <v>2.2.3</v>
      </c>
      <c r="C15" s="115" t="str">
        <f>'F1'!D20</f>
        <v>Karakteristik kepemimpinan PS: …</v>
      </c>
      <c r="D15" s="84"/>
      <c r="E15" s="461"/>
    </row>
    <row r="16" spans="1:16" s="30" customFormat="1" ht="87.75" customHeight="1" x14ac:dyDescent="0.25">
      <c r="A16" s="126">
        <f>'F1'!A21</f>
        <v>8</v>
      </c>
      <c r="B16" s="183">
        <f>'F1'!B21</f>
        <v>2.2999999999999998</v>
      </c>
      <c r="C16" s="115" t="str">
        <f>'F1'!D21</f>
        <v>Sistem pengelolaan fungsional dan operasional PS: …</v>
      </c>
      <c r="D16" s="84"/>
      <c r="E16" s="461"/>
    </row>
    <row r="17" spans="1:5" s="30" customFormat="1" ht="93.75" customHeight="1" x14ac:dyDescent="0.25">
      <c r="A17" s="126">
        <f>'F1'!A22</f>
        <v>9</v>
      </c>
      <c r="B17" s="183">
        <f>'F1'!B22</f>
        <v>2.4</v>
      </c>
      <c r="C17" s="115" t="str">
        <f>'F1'!D22</f>
        <v>Pelaksanaan penjaminan mutu di tingkat PS: …</v>
      </c>
      <c r="D17" s="84"/>
      <c r="E17" s="461"/>
    </row>
    <row r="18" spans="1:5" s="30" customFormat="1" ht="92.25" customHeight="1" x14ac:dyDescent="0.25">
      <c r="A18" s="126">
        <f>'F1'!A23</f>
        <v>10</v>
      </c>
      <c r="B18" s="183">
        <f>'F1'!B23</f>
        <v>2.5</v>
      </c>
      <c r="C18" s="115" t="str">
        <f>'F1'!D23</f>
        <v>Penjaringan umpan balik dan tindak lanjutnya: …</v>
      </c>
      <c r="D18" s="84"/>
      <c r="E18" s="461"/>
    </row>
    <row r="19" spans="1:5" s="30" customFormat="1" ht="94.5" customHeight="1" x14ac:dyDescent="0.25">
      <c r="A19" s="126">
        <f>'F1'!A24</f>
        <v>11</v>
      </c>
      <c r="B19" s="183">
        <f>'F1'!B24</f>
        <v>2.6</v>
      </c>
      <c r="C19" s="115" t="str">
        <f>'F1'!D24</f>
        <v>Upaya untuk menjamin keberlanjutan PS: …</v>
      </c>
      <c r="D19" s="84"/>
      <c r="E19" s="461"/>
    </row>
    <row r="20" spans="1:5" s="30" customFormat="1" ht="97.5" customHeight="1" x14ac:dyDescent="0.25">
      <c r="A20" s="126">
        <f>'F1'!A25</f>
        <v>12</v>
      </c>
      <c r="B20" s="183">
        <f>'F1'!B25</f>
        <v>3.1</v>
      </c>
      <c r="C20" s="115" t="str">
        <f>'F1'!D25</f>
        <v>Sistem rekrutmen calon mahasiswa baru: …</v>
      </c>
      <c r="D20" s="84"/>
      <c r="E20" s="461"/>
    </row>
    <row r="21" spans="1:5" s="30" customFormat="1" ht="50.25" customHeight="1" x14ac:dyDescent="0.25">
      <c r="A21" s="126">
        <f>'F1'!A26</f>
        <v>13</v>
      </c>
      <c r="B21" s="183" t="str">
        <f>'F1'!B26</f>
        <v>3.2.1.1</v>
      </c>
      <c r="C21" s="115" t="str">
        <f>'F1'!D26</f>
        <v xml:space="preserve">Rasio calon peserta didik yang ikut seleksi : lulus seleksi = 10/9 = 1.11. </v>
      </c>
      <c r="D21" s="84"/>
      <c r="E21" s="461"/>
    </row>
    <row r="22" spans="1:5" s="30" customFormat="1" ht="48.75" customHeight="1" x14ac:dyDescent="0.25">
      <c r="A22" s="126">
        <f>'F1'!A27</f>
        <v>14</v>
      </c>
      <c r="B22" s="183" t="str">
        <f>'F1'!B27</f>
        <v>3.2.1.2</v>
      </c>
      <c r="C22" s="115" t="str">
        <f>'F1'!D27</f>
        <v xml:space="preserve">Rasio peserta didik baru : total peserta didik = (20/35) = 0.57. </v>
      </c>
      <c r="D22" s="84"/>
      <c r="E22" s="461"/>
    </row>
    <row r="23" spans="1:5" s="30" customFormat="1" ht="89.25" customHeight="1" x14ac:dyDescent="0.25">
      <c r="A23" s="126">
        <f>'F1'!A28</f>
        <v>15</v>
      </c>
      <c r="B23" s="183" t="str">
        <f>'F1'!B28</f>
        <v>3.2.2</v>
      </c>
      <c r="C23" s="115" t="str">
        <f>'F1'!D28</f>
        <v xml:space="preserve">Jumlah lulusan dengan IPK 2.75 s.d. 3.00 = 4 orang. Jumlah lulusan dengan IPK 3.01 s.d. 3.49 = 7 orang. Jumlah lulusan dengan IPK ≥ 3.5 = 5 orang.  </v>
      </c>
      <c r="D23" s="84"/>
      <c r="E23" s="461"/>
    </row>
    <row r="24" spans="1:5" s="30" customFormat="1" ht="102.75" customHeight="1" x14ac:dyDescent="0.25">
      <c r="A24" s="126">
        <f>'F1'!A29</f>
        <v>16</v>
      </c>
      <c r="B24" s="183" t="str">
        <f>'F1'!B29</f>
        <v>3.2.3</v>
      </c>
      <c r="C24" s="115" t="str">
        <f>'F1'!D29</f>
        <v>Penghargaan atas prestasi peserta didik di bidang nalar, bakat dan minat: …</v>
      </c>
      <c r="D24" s="84"/>
      <c r="E24" s="461"/>
    </row>
    <row r="25" spans="1:5" s="30" customFormat="1" ht="55.5" customHeight="1" x14ac:dyDescent="0.25">
      <c r="A25" s="126">
        <f>'F1'!A30</f>
        <v>17</v>
      </c>
      <c r="B25" s="183" t="str">
        <f>'F1'!B30</f>
        <v>3.2.4</v>
      </c>
      <c r="C25" s="115" t="str">
        <f>'F1'!D30</f>
        <v xml:space="preserve">Persentase kelulusan dokter spesialis tepat waktu = (35/60) x 100% = 58.33%. </v>
      </c>
      <c r="D25" s="84"/>
      <c r="E25" s="461"/>
    </row>
    <row r="26" spans="1:5" s="30" customFormat="1" ht="67.5" customHeight="1" x14ac:dyDescent="0.25">
      <c r="A26" s="126">
        <f>'F1'!A31</f>
        <v>18</v>
      </c>
      <c r="B26" s="183" t="str">
        <f>'F1'!B31</f>
        <v>3.2.5</v>
      </c>
      <c r="C26" s="115" t="str">
        <f>'F1'!D31</f>
        <v xml:space="preserve">Ujian nasional dalam tiga tahun terakhir. Persentase kelulusan first-taker = (50/55) x 100% = 90.91%. </v>
      </c>
      <c r="D26" s="84"/>
      <c r="E26" s="461"/>
    </row>
    <row r="27" spans="1:5" s="30" customFormat="1" ht="134.25" customHeight="1" x14ac:dyDescent="0.25">
      <c r="A27" s="126">
        <f>'F1'!A32</f>
        <v>19</v>
      </c>
      <c r="B27" s="183">
        <f>'F1'!B32</f>
        <v>3.3</v>
      </c>
      <c r="C27" s="115" t="str">
        <f>'F1'!D32</f>
        <v>Layanan program studi kepada mahasiswa untuk membina dan mengembangkan penalaran, minat, bakat, seni, dan kesejahteraan: …</v>
      </c>
      <c r="D27" s="84"/>
      <c r="E27" s="461"/>
    </row>
    <row r="28" spans="1:5" s="30" customFormat="1" ht="117.75" customHeight="1" x14ac:dyDescent="0.25">
      <c r="A28" s="126">
        <f>'F1'!A33</f>
        <v>20</v>
      </c>
      <c r="B28" s="183">
        <f>'F1'!B33</f>
        <v>3.4</v>
      </c>
      <c r="C28" s="115" t="str">
        <f>'F1'!D33</f>
        <v>Bentuk partisipasi lulusan dan alumni untuk kegiatan akademik dan non-akademik: …</v>
      </c>
      <c r="D28" s="84"/>
      <c r="E28" s="461"/>
    </row>
    <row r="29" spans="1:5" s="30" customFormat="1" ht="115.5" customHeight="1" x14ac:dyDescent="0.25">
      <c r="A29" s="126">
        <f>'F1'!A34</f>
        <v>21</v>
      </c>
      <c r="B29" s="183">
        <f>'F1'!B34</f>
        <v>4.0999999999999996</v>
      </c>
      <c r="C29" s="115" t="str">
        <f>'F1'!D34</f>
        <v>Sistem seleksi, perekrutan, penempatan, promosi, retensi, dan pemberhentian dosen dan tenaga kependidikan: …</v>
      </c>
      <c r="D29" s="84"/>
      <c r="E29" s="461"/>
    </row>
    <row r="30" spans="1:5" s="30" customFormat="1" ht="61.5" customHeight="1" x14ac:dyDescent="0.25">
      <c r="A30" s="126">
        <f>'F1'!A35</f>
        <v>22</v>
      </c>
      <c r="B30" s="183">
        <f>'F1'!B35</f>
        <v>4.2</v>
      </c>
      <c r="C30" s="115" t="str">
        <f>'F1'!D35</f>
        <v>Sistem monitoring dan evaluasi, serta rekam jejak kinerja dosen dan tenaga kependidikan: …</v>
      </c>
      <c r="D30" s="84"/>
      <c r="E30" s="461"/>
    </row>
    <row r="31" spans="1:5" s="30" customFormat="1" ht="99.75" customHeight="1" x14ac:dyDescent="0.25">
      <c r="A31" s="126">
        <f>'F1'!A36</f>
        <v>23</v>
      </c>
      <c r="B31" s="183" t="str">
        <f>'F1'!B36</f>
        <v>4.3.1.1</v>
      </c>
      <c r="C31" s="115" t="str">
        <f>'F1'!D36</f>
        <v xml:space="preserve">PS memiliki program pendidikan konsultan. Jumlah subdivisi = 20. Jumlah dosen di RS Pendidikan yang berpendidikan Sp.K = 30 orang. Persentase dosen di RS Pendidikan yang perpendidikan Sp.K terhadap (jumlah subdivisi x 2) = 75.00%.  </v>
      </c>
      <c r="D31" s="84"/>
      <c r="E31" s="461"/>
    </row>
    <row r="32" spans="1:5" s="30" customFormat="1" ht="95.25" customHeight="1" x14ac:dyDescent="0.25">
      <c r="A32" s="126">
        <f>'F1'!A37</f>
        <v>24</v>
      </c>
      <c r="B32" s="183" t="str">
        <f>'F1'!B37</f>
        <v>4.3.1.2</v>
      </c>
      <c r="C32" s="115" t="str">
        <f>'F1'!D37</f>
        <v>Dosen di RS Pendidikan (Utama, Afiliasi dan Satelit): …</v>
      </c>
      <c r="D32" s="84"/>
      <c r="E32" s="461"/>
    </row>
    <row r="33" spans="1:5" s="30" customFormat="1" ht="54" customHeight="1" x14ac:dyDescent="0.25">
      <c r="A33" s="126">
        <f>'F1'!A38</f>
        <v>25</v>
      </c>
      <c r="B33" s="183" t="str">
        <f>'F1'!B38</f>
        <v>4.3.1.3</v>
      </c>
      <c r="C33" s="115" t="str">
        <f>'F1'!D38</f>
        <v xml:space="preserve">Persentase dosen yang memiliki sertifikasi pendidik = (25/40) x 100% = 62.50%. </v>
      </c>
      <c r="D33" s="84"/>
      <c r="E33" s="461"/>
    </row>
    <row r="34" spans="1:5" s="30" customFormat="1" ht="71.25" customHeight="1" x14ac:dyDescent="0.25">
      <c r="A34" s="126">
        <f>'F1'!A39</f>
        <v>26</v>
      </c>
      <c r="B34" s="183" t="str">
        <f>'F1'!B39</f>
        <v>4.3.1.4</v>
      </c>
      <c r="C34" s="115" t="str">
        <f>'F1'!D39</f>
        <v xml:space="preserve">Rasio peserta didik terhadap dosen yang bidang keahliannya sesuai dengan bidang PS = (50/20) = 2.50. </v>
      </c>
      <c r="D34" s="84"/>
      <c r="E34" s="461"/>
    </row>
    <row r="35" spans="1:5" s="30" customFormat="1" ht="112.5" customHeight="1" x14ac:dyDescent="0.25">
      <c r="A35" s="126">
        <f>'F1'!A40</f>
        <v>27</v>
      </c>
      <c r="B35" s="183" t="str">
        <f>'F1'!B40</f>
        <v>4.3.1.5</v>
      </c>
      <c r="C35" s="115" t="str">
        <f>'F1'!D40</f>
        <v xml:space="preserve">Jumlah dosen di RS Pendidikan: Sp (&lt; 5th)  = 15 orang. Jumlah dosen di RS Pendidikan: Sp (5 -10th) = 8 orang. Jumlah dosen di RS Pendidikan: Sp(&gt; 10th) = 10 orang. Jumlah dosen di RS Pendidikan: Sp.K = 6 orang.  </v>
      </c>
      <c r="D35" s="84"/>
      <c r="E35" s="461"/>
    </row>
    <row r="36" spans="1:5" s="30" customFormat="1" ht="68.25" customHeight="1" x14ac:dyDescent="0.25">
      <c r="A36" s="126">
        <f>'F1'!A41</f>
        <v>28</v>
      </c>
      <c r="B36" s="183" t="str">
        <f>'F1'!B41</f>
        <v>4.3.2</v>
      </c>
      <c r="C36" s="115" t="str">
        <f>'F1'!D41</f>
        <v xml:space="preserve">Rata-rata beban kerja dosen di RS Pendidikan (Utama, Afiliasi dan Satelit) per tahun (dalam jam) = 1276 jam.  </v>
      </c>
      <c r="D36" s="84"/>
      <c r="E36" s="461"/>
    </row>
    <row r="37" spans="1:5" s="30" customFormat="1" ht="98.25" customHeight="1" x14ac:dyDescent="0.25">
      <c r="A37" s="126">
        <f>'F1'!A42</f>
        <v>29</v>
      </c>
      <c r="B37" s="183" t="str">
        <f>'F1'!B42</f>
        <v xml:space="preserve">4.3.3 </v>
      </c>
      <c r="C37" s="115" t="str">
        <f>'F1'!D42</f>
        <v xml:space="preserve">Persentase realisasi aktivitas dosen di RS Pendidikan (Utama, Afiliasi dan Satelit) dalam pendidikan terhadap jumlah aktivitas yang direncanakan = (95/100) x 100% = 95.00%. </v>
      </c>
      <c r="D37" s="84"/>
      <c r="E37" s="461"/>
    </row>
    <row r="38" spans="1:5" s="30" customFormat="1" ht="102" customHeight="1" x14ac:dyDescent="0.25">
      <c r="A38" s="126">
        <f>'F1'!A43</f>
        <v>30</v>
      </c>
      <c r="B38" s="183" t="str">
        <f>'F1'!B43</f>
        <v>4.5.1</v>
      </c>
      <c r="C38" s="115" t="str">
        <f>'F1'!D43</f>
        <v xml:space="preserve">Banyaknya tenaga ahli/pakar sebagai pembicara dalam seminar/pelatihan, pembicara tamu, dsb, dari luar PT sendiri (tidak termasuk dosendi RS Pendidikan Afiliasi dan Satelit) = 13 orang.  </v>
      </c>
      <c r="D38" s="84"/>
      <c r="E38" s="461"/>
    </row>
    <row r="39" spans="1:5" s="30" customFormat="1" ht="89.25" customHeight="1" x14ac:dyDescent="0.25">
      <c r="A39" s="126">
        <f>'F1'!A44</f>
        <v>31</v>
      </c>
      <c r="B39" s="183" t="str">
        <f>'F1'!B44</f>
        <v>4.5.2</v>
      </c>
      <c r="C39" s="115" t="str">
        <f>'F1'!D44</f>
        <v xml:space="preserve">Persentase dosen yang mengikuti tugas belajar jenjang S-3/Sp.K pada bidang keahlian yang sesuai dengan PS dalam kurun waktu tiga tahun terakhir = (95/100) x 100% = 95.00%. </v>
      </c>
      <c r="D39" s="84"/>
      <c r="E39" s="461"/>
    </row>
    <row r="40" spans="1:5" s="30" customFormat="1" ht="102" customHeight="1" x14ac:dyDescent="0.25">
      <c r="A40" s="126">
        <f>'F1'!A45</f>
        <v>32</v>
      </c>
      <c r="B40" s="183" t="str">
        <f>'F1'!B45</f>
        <v>4.5.3</v>
      </c>
      <c r="C40" s="115" t="str">
        <f>'F1'!D45</f>
        <v xml:space="preserve">Kegiatan dosen PS dalam pertemuan ilmiah. NA = 10, NB = 7, NC = 9, ND = 15, NE = 20, NF = 25, NF = 25. Jumlah dosen PS (termasuk dosen di RS Pendidikan Utama, Afiliasi, dan Satelit) = 20 orang. </v>
      </c>
      <c r="D40" s="84"/>
      <c r="E40" s="461"/>
    </row>
    <row r="41" spans="1:5" s="30" customFormat="1" ht="102.75" customHeight="1" x14ac:dyDescent="0.25">
      <c r="A41" s="126">
        <f>'F1'!A46</f>
        <v>33</v>
      </c>
      <c r="B41" s="183" t="str">
        <f>'F1'!B46</f>
        <v>4.5.4</v>
      </c>
      <c r="C41" s="115" t="str">
        <f>'F1'!D46</f>
        <v xml:space="preserve">Media publikasi karya ilmiah dosen PS. NA = 10, NB = 7, NC = 9, ND = 15, NE = 20, NF = 25, NF = 25. Jumlah dosen PS (termasuk dosen di RS Pendidikan Utama, Afiliasi, dan Satelit) = 20 orang. </v>
      </c>
      <c r="D41" s="84"/>
      <c r="E41" s="461"/>
    </row>
    <row r="42" spans="1:5" s="30" customFormat="1" ht="78.75" customHeight="1" x14ac:dyDescent="0.25">
      <c r="A42" s="126">
        <f>'F1'!A47</f>
        <v>34</v>
      </c>
      <c r="B42" s="183" t="str">
        <f>'F1'!B47</f>
        <v>4.5.5</v>
      </c>
      <c r="C42" s="115" t="str">
        <f>'F1'!D47</f>
        <v xml:space="preserve">Persentase dosen yang menjadi anggota organisasi keilmuan atau organisasi profesi tingkat internasional = (0/100) x 100% = 0.00%. </v>
      </c>
      <c r="D42" s="84"/>
      <c r="E42" s="461"/>
    </row>
    <row r="43" spans="1:5" s="30" customFormat="1" ht="116.25" customHeight="1" x14ac:dyDescent="0.25">
      <c r="A43" s="126">
        <f>'F1'!A48</f>
        <v>35</v>
      </c>
      <c r="B43" s="183" t="str">
        <f>'F1'!B48</f>
        <v>5.1.1</v>
      </c>
      <c r="C43" s="115" t="str">
        <f>'F1'!D48</f>
        <v>Kompetensi pendukung dan kompetensi lainnya dari kurikulum PS: …</v>
      </c>
      <c r="D43" s="84"/>
      <c r="E43" s="461"/>
    </row>
    <row r="44" spans="1:5" s="30" customFormat="1" ht="85.5" customHeight="1" x14ac:dyDescent="0.25">
      <c r="A44" s="126">
        <f>'F1'!A49</f>
        <v>36</v>
      </c>
      <c r="B44" s="183" t="str">
        <f>'F1'!B49</f>
        <v>5.1.2</v>
      </c>
      <c r="C44" s="115" t="str">
        <f>'F1'!D49</f>
        <v>Struktur kurikulum: …</v>
      </c>
      <c r="D44" s="84"/>
      <c r="E44" s="461"/>
    </row>
    <row r="45" spans="1:5" s="30" customFormat="1" ht="85.5" customHeight="1" x14ac:dyDescent="0.25">
      <c r="A45" s="126">
        <f>'F1'!A50</f>
        <v>37</v>
      </c>
      <c r="B45" s="183" t="str">
        <f>'F1'!B50</f>
        <v>5.1.3.1</v>
      </c>
      <c r="C45" s="115" t="str">
        <f>'F1'!D50</f>
        <v>Kompetensi umum:…</v>
      </c>
      <c r="D45" s="84"/>
      <c r="E45" s="461"/>
    </row>
    <row r="46" spans="1:5" s="30" customFormat="1" ht="106.5" customHeight="1" x14ac:dyDescent="0.25">
      <c r="A46" s="126">
        <f>'F1'!A51</f>
        <v>38</v>
      </c>
      <c r="B46" s="183" t="str">
        <f>'F1'!B51</f>
        <v>5.1.3.2</v>
      </c>
      <c r="C46" s="115" t="str">
        <f>'F1'!D51</f>
        <v>Prosedur pencapaian kompetensi dasar ilmu bedah anak: …</v>
      </c>
      <c r="D46" s="84"/>
      <c r="E46" s="461"/>
    </row>
    <row r="47" spans="1:5" s="30" customFormat="1" ht="115.5" customHeight="1" x14ac:dyDescent="0.25">
      <c r="A47" s="126">
        <f>'F1'!A52</f>
        <v>39</v>
      </c>
      <c r="B47" s="183" t="str">
        <f>'F1'!B52</f>
        <v>5.1.3.3</v>
      </c>
      <c r="C47" s="115" t="str">
        <f>'F1'!D52</f>
        <v>Prosedur pencapaian kompetensi lanjut ilmu bedah anak: …</v>
      </c>
      <c r="D47" s="84"/>
      <c r="E47" s="461"/>
    </row>
    <row r="48" spans="1:5" s="30" customFormat="1" ht="95.25" customHeight="1" x14ac:dyDescent="0.25">
      <c r="A48" s="126">
        <f>'F1'!A53</f>
        <v>40</v>
      </c>
      <c r="B48" s="183" t="str">
        <f>'F1'!B53</f>
        <v>5.1.4</v>
      </c>
      <c r="C48" s="115" t="str">
        <f>'F1'!D53</f>
        <v>Proses pembelajaran: …</v>
      </c>
      <c r="D48" s="84"/>
      <c r="E48" s="461"/>
    </row>
    <row r="49" spans="1:5" s="30" customFormat="1" ht="98.25" customHeight="1" x14ac:dyDescent="0.25">
      <c r="A49" s="126">
        <f>'F1'!A54</f>
        <v>41</v>
      </c>
      <c r="B49" s="183">
        <f>'F1'!B54</f>
        <v>5.2</v>
      </c>
      <c r="C49" s="115" t="str">
        <f>'F1'!D54</f>
        <v xml:space="preserve">Persentase banyaknya modul ditinjau tiga tahun terakhir = (40/50) x 100% = 80.00%. </v>
      </c>
      <c r="D49" s="84"/>
      <c r="E49" s="461"/>
    </row>
    <row r="50" spans="1:5" s="30" customFormat="1" ht="66.75" customHeight="1" x14ac:dyDescent="0.25">
      <c r="A50" s="126">
        <f>'F1'!A55</f>
        <v>42</v>
      </c>
      <c r="B50" s="183">
        <f>'F1'!B55</f>
        <v>5.3</v>
      </c>
      <c r="C50" s="115" t="str">
        <f>'F1'!D55</f>
        <v xml:space="preserve">Persentase morbiditas dan mortalitas dalam satu tahun terakhir = (10/50) x 100% = 20.00%. </v>
      </c>
      <c r="D50" s="84"/>
      <c r="E50" s="461"/>
    </row>
    <row r="51" spans="1:5" s="30" customFormat="1" ht="135" customHeight="1" x14ac:dyDescent="0.25">
      <c r="A51" s="126">
        <f>'F1'!A56</f>
        <v>43</v>
      </c>
      <c r="B51" s="183" t="str">
        <f>'F1'!B56</f>
        <v>5.4.1</v>
      </c>
      <c r="C51" s="115" t="str">
        <f>'F1'!D56</f>
        <v>Ketersediaan panduan pembimbingan karya tulis ilmiah, sosialisasi, dan konsistensi pelaksanaannya: …</v>
      </c>
      <c r="D51" s="84"/>
      <c r="E51" s="461"/>
    </row>
    <row r="52" spans="1:5" s="30" customFormat="1" ht="113.25" customHeight="1" x14ac:dyDescent="0.25">
      <c r="A52" s="126">
        <f>'F1'!A57</f>
        <v>44</v>
      </c>
      <c r="B52" s="183" t="str">
        <f>'F1'!B57</f>
        <v>5.4.2.1</v>
      </c>
      <c r="C52" s="115" t="str">
        <f>'F1'!D57</f>
        <v>Kualifikasi akademik dosen pembimbing karya tulis ilmiah: …</v>
      </c>
      <c r="D52" s="84"/>
      <c r="E52" s="461"/>
    </row>
    <row r="53" spans="1:5" s="30" customFormat="1" ht="49.5" customHeight="1" x14ac:dyDescent="0.25">
      <c r="A53" s="126">
        <f>'F1'!A58</f>
        <v>45</v>
      </c>
      <c r="B53" s="183" t="str">
        <f>'F1'!B58</f>
        <v>5.4.2.2</v>
      </c>
      <c r="C53" s="115" t="str">
        <f>'F1'!D58</f>
        <v xml:space="preserve">Rata-rata peserta didik per dosen pembimbing karya tulis ilmiah  = (20/30)  = 0.67. </v>
      </c>
      <c r="D53" s="84"/>
      <c r="E53" s="461"/>
    </row>
    <row r="54" spans="1:5" s="30" customFormat="1" ht="106.5" customHeight="1" x14ac:dyDescent="0.25">
      <c r="A54" s="126">
        <f>'F1'!A59</f>
        <v>46</v>
      </c>
      <c r="B54" s="183" t="str">
        <f>'F1'!B59</f>
        <v>5.5.1</v>
      </c>
      <c r="C54" s="115" t="str">
        <f>'F1'!D59</f>
        <v>Sistem monitoring dan evaluasi (monev) kurikulum: …</v>
      </c>
      <c r="D54" s="84"/>
      <c r="E54" s="461"/>
    </row>
    <row r="55" spans="1:5" s="30" customFormat="1" ht="60" customHeight="1" x14ac:dyDescent="0.25">
      <c r="A55" s="126">
        <f>'F1'!A60</f>
        <v>47</v>
      </c>
      <c r="B55" s="183" t="str">
        <f>'F1'!B60</f>
        <v>5.5.2</v>
      </c>
      <c r="C55" s="115" t="str">
        <f>'F1'!D60</f>
        <v xml:space="preserve">Rata-rata jumlah bimbingan operasi/tindakan per tahun = 145 kali.  </v>
      </c>
      <c r="D55" s="84"/>
      <c r="E55" s="461"/>
    </row>
    <row r="56" spans="1:5" s="30" customFormat="1" ht="101.25" customHeight="1" x14ac:dyDescent="0.25">
      <c r="A56" s="126">
        <f>'F1'!A61</f>
        <v>48</v>
      </c>
      <c r="B56" s="183" t="str">
        <f>'F1'!B61</f>
        <v>5.5.3</v>
      </c>
      <c r="C56" s="115" t="str">
        <f>'F1'!D61</f>
        <v>Sistem evaluasi peserta didik dan kriteria kelulusan: …</v>
      </c>
      <c r="D56" s="84"/>
      <c r="E56" s="461"/>
    </row>
    <row r="57" spans="1:5" s="30" customFormat="1" ht="97.5" customHeight="1" x14ac:dyDescent="0.25">
      <c r="A57" s="126">
        <f>'F1'!A62</f>
        <v>49</v>
      </c>
      <c r="B57" s="183" t="str">
        <f>'F1'!B62</f>
        <v>5.6.1</v>
      </c>
      <c r="C57" s="115" t="str">
        <f>'F1'!D62</f>
        <v>Kebijakan tentang suasana akademik: …</v>
      </c>
      <c r="D57" s="84"/>
      <c r="E57" s="461"/>
    </row>
    <row r="58" spans="1:5" s="30" customFormat="1" ht="115.5" customHeight="1" x14ac:dyDescent="0.25">
      <c r="A58" s="126">
        <f>'F1'!A63</f>
        <v>50</v>
      </c>
      <c r="B58" s="183" t="str">
        <f>'F1'!B63</f>
        <v>5.6.2</v>
      </c>
      <c r="C58" s="115" t="str">
        <f>'F1'!D63</f>
        <v>Ketersediaan dan jenis prasarana, sarana dan dana: …</v>
      </c>
      <c r="D58" s="84"/>
      <c r="E58" s="461"/>
    </row>
    <row r="59" spans="1:5" s="30" customFormat="1" ht="119.25" customHeight="1" x14ac:dyDescent="0.25">
      <c r="A59" s="126">
        <f>'F1'!A64</f>
        <v>51</v>
      </c>
      <c r="B59" s="183" t="str">
        <f>'F1'!B64</f>
        <v>5.6.3</v>
      </c>
      <c r="C59" s="115" t="str">
        <f>'F1'!D64</f>
        <v>Program dan kegiatan akademik untuk menciptakan suasana akademik: …</v>
      </c>
      <c r="D59" s="84"/>
      <c r="E59" s="461"/>
    </row>
    <row r="60" spans="1:5" s="30" customFormat="1" ht="104.25" customHeight="1" x14ac:dyDescent="0.25">
      <c r="A60" s="126">
        <f>'F1'!A65</f>
        <v>52</v>
      </c>
      <c r="B60" s="183" t="str">
        <f>'F1'!B65</f>
        <v>5.6.4</v>
      </c>
      <c r="C60" s="115" t="str">
        <f>'F1'!D65</f>
        <v>Sistem monitoring dan evaluasi (monev) kurikulum: …</v>
      </c>
      <c r="D60" s="84"/>
      <c r="E60" s="461"/>
    </row>
    <row r="61" spans="1:5" s="30" customFormat="1" ht="100.5" customHeight="1" x14ac:dyDescent="0.25">
      <c r="A61" s="126">
        <f>'F1'!A66</f>
        <v>53</v>
      </c>
      <c r="B61" s="183" t="str">
        <f>'F1'!B66</f>
        <v>6.1.1</v>
      </c>
      <c r="C61" s="115" t="str">
        <f>'F1'!D66</f>
        <v>Keterlibatan program studi dalam pengelolaan dana: …</v>
      </c>
      <c r="D61" s="84"/>
      <c r="E61" s="461"/>
    </row>
    <row r="62" spans="1:5" s="30" customFormat="1" ht="102.75" customHeight="1" x14ac:dyDescent="0.25">
      <c r="A62" s="126">
        <f>'F1'!A67</f>
        <v>54</v>
      </c>
      <c r="B62" s="183" t="str">
        <f>'F1'!B67</f>
        <v>6.1.2.1</v>
      </c>
      <c r="C62" s="115" t="str">
        <f>'F1'!D67</f>
        <v xml:space="preserve">Total penerimaan dana = Rp 100 juta. Penerimaan dana dari mahasiswa = Rp 30 juta. Persentase perolehan dana dari mahasiswa dibandingkan dengan total penerimaan dana  = 30.00%. </v>
      </c>
      <c r="D62" s="84"/>
      <c r="E62" s="461"/>
    </row>
    <row r="63" spans="1:5" s="30" customFormat="1" ht="102.75" customHeight="1" x14ac:dyDescent="0.25">
      <c r="A63" s="126">
        <f>'F1'!A68</f>
        <v>55</v>
      </c>
      <c r="B63" s="183" t="str">
        <f>'F1'!B68</f>
        <v>6.1.2.2</v>
      </c>
      <c r="C63" s="115" t="str">
        <f>'F1'!D68</f>
        <v xml:space="preserve">Penggunaan dana untuk operasional (pendidikan, penelitian, pengabdian kepada masyarakat)/ mahasiswa /tahun. Rata-rata dana operasional per mahasiswa per tahun = Rp 100 juta. </v>
      </c>
      <c r="D63" s="84"/>
      <c r="E63" s="461"/>
    </row>
    <row r="64" spans="1:5" s="30" customFormat="1" ht="93.75" customHeight="1" x14ac:dyDescent="0.25">
      <c r="A64" s="126">
        <f>'F1'!A69</f>
        <v>56</v>
      </c>
      <c r="B64" s="183" t="str">
        <f>'F1'!B69</f>
        <v>6.1.2.3</v>
      </c>
      <c r="C64" s="115" t="str">
        <f>'F1'!D69</f>
        <v xml:space="preserve">Penggunaan dana penelitian tiga tahun terakhir. Rata-rata dana penelitian per dosen di RS Pendidikan (Utama, Afiliasi dan Satelit) per tahun = Rp 4.00 juta. </v>
      </c>
      <c r="D64" s="84"/>
      <c r="E64" s="461"/>
    </row>
    <row r="65" spans="1:5" s="30" customFormat="1" ht="114" customHeight="1" x14ac:dyDescent="0.25">
      <c r="A65" s="126">
        <f>'F1'!A70</f>
        <v>57</v>
      </c>
      <c r="B65" s="183" t="str">
        <f>'F1'!B70</f>
        <v>6.1.2.4</v>
      </c>
      <c r="C65" s="115" t="str">
        <f>'F1'!D70</f>
        <v xml:space="preserve">Penggunaan dana pengabdian kepada masyarakat dalam tiga tahun terakhir. Rata-rata dana pengabdian kepada masyarakat per dosen di RS Pendidikan (Utama, Afiliasi dan Satelit) per tahun = Rp 3.33 juta. </v>
      </c>
      <c r="D65" s="84"/>
      <c r="E65" s="461"/>
    </row>
    <row r="66" spans="1:5" s="30" customFormat="1" ht="99.75" customHeight="1" x14ac:dyDescent="0.25">
      <c r="A66" s="126">
        <f>'F1'!A71</f>
        <v>58</v>
      </c>
      <c r="B66" s="183" t="str">
        <f>'F1'!B71</f>
        <v>6.2.1.1</v>
      </c>
      <c r="C66" s="115" t="str">
        <f>'F1'!D71</f>
        <v>Ruang yang tersedia untuk proses pendidikan: …</v>
      </c>
      <c r="D66" s="84"/>
      <c r="E66" s="461"/>
    </row>
    <row r="67" spans="1:5" s="30" customFormat="1" ht="114" customHeight="1" x14ac:dyDescent="0.25">
      <c r="A67" s="126">
        <f>'F1'!A72</f>
        <v>59</v>
      </c>
      <c r="B67" s="183" t="str">
        <f>'F1'!B72</f>
        <v>6.2.1.2</v>
      </c>
      <c r="C67" s="115" t="str">
        <f>'F1'!D72</f>
        <v>Fasilitas komputer dan akses ke jaringan internet di perpustakaan: …</v>
      </c>
      <c r="D67" s="84"/>
      <c r="E67" s="461"/>
    </row>
    <row r="68" spans="1:5" s="30" customFormat="1" ht="39.75" customHeight="1" x14ac:dyDescent="0.25">
      <c r="A68" s="126">
        <f>'F1'!A73</f>
        <v>60</v>
      </c>
      <c r="B68" s="183" t="str">
        <f>'F1'!B73</f>
        <v>6.2.1.3</v>
      </c>
      <c r="C68" s="115" t="str">
        <f>'F1'!D73</f>
        <v xml:space="preserve">Jumlah judul buku teks yang relevan  = 20 judul.  </v>
      </c>
      <c r="D68" s="84"/>
      <c r="E68" s="461"/>
    </row>
    <row r="69" spans="1:5" s="30" customFormat="1" ht="42" customHeight="1" x14ac:dyDescent="0.25">
      <c r="A69" s="126">
        <f>'F1'!A74</f>
        <v>61</v>
      </c>
      <c r="B69" s="183" t="str">
        <f>'F1'!B74</f>
        <v>6.2.1.4</v>
      </c>
      <c r="C69" s="115" t="str">
        <f>'F1'!D74</f>
        <v xml:space="preserve">Jumlah judul majalah profesi internasional = 20 judul.  </v>
      </c>
      <c r="D69" s="84"/>
      <c r="E69" s="461"/>
    </row>
    <row r="70" spans="1:5" s="30" customFormat="1" ht="41.25" customHeight="1" x14ac:dyDescent="0.25">
      <c r="A70" s="126">
        <f>'F1'!A75</f>
        <v>62</v>
      </c>
      <c r="B70" s="183" t="str">
        <f>'F1'!B75</f>
        <v>6.2.1.5</v>
      </c>
      <c r="C70" s="115" t="str">
        <f>'F1'!D75</f>
        <v xml:space="preserve">Jumlah judul majalah profesi nasional = 20 judul.  </v>
      </c>
      <c r="D70" s="84"/>
      <c r="E70" s="461"/>
    </row>
    <row r="71" spans="1:5" s="30" customFormat="1" ht="48" customHeight="1" x14ac:dyDescent="0.25">
      <c r="A71" s="126">
        <f>'F1'!A76</f>
        <v>63</v>
      </c>
      <c r="B71" s="183" t="str">
        <f>'F1'!B76</f>
        <v>6.2.1.6</v>
      </c>
      <c r="C71" s="115" t="str">
        <f>'F1'!D76</f>
        <v xml:space="preserve">Jumlah judul video/interactive materials = 20 judul.  </v>
      </c>
      <c r="D71" s="84"/>
      <c r="E71" s="461"/>
    </row>
    <row r="72" spans="1:5" s="30" customFormat="1" ht="94.5" customHeight="1" x14ac:dyDescent="0.25">
      <c r="A72" s="126">
        <f>'F1'!A77</f>
        <v>64</v>
      </c>
      <c r="B72" s="183" t="str">
        <f>'F1'!B77</f>
        <v>6.2.2.1</v>
      </c>
      <c r="C72" s="115" t="str">
        <f>'F1'!D77</f>
        <v>Kelengkapan dan mutu sarana pada Unit Rawat Inap: …</v>
      </c>
      <c r="D72" s="84"/>
      <c r="E72" s="461"/>
    </row>
    <row r="73" spans="1:5" s="30" customFormat="1" ht="108" customHeight="1" x14ac:dyDescent="0.25">
      <c r="A73" s="126">
        <f>'F1'!A78</f>
        <v>65</v>
      </c>
      <c r="B73" s="183" t="str">
        <f>'F1'!B78</f>
        <v>6.2.2.2</v>
      </c>
      <c r="C73" s="115" t="str">
        <f>'F1'!D78</f>
        <v>Kelengkapan dan mutu sarana pada Unit Rawat Jalan: …</v>
      </c>
      <c r="D73" s="84"/>
      <c r="E73" s="461"/>
    </row>
    <row r="74" spans="1:5" s="30" customFormat="1" ht="84.75" customHeight="1" x14ac:dyDescent="0.25">
      <c r="A74" s="126">
        <f>'F1'!A79</f>
        <v>66</v>
      </c>
      <c r="B74" s="183" t="str">
        <f>'F1'!B79</f>
        <v>6.2.2.3</v>
      </c>
      <c r="C74" s="115" t="str">
        <f>'F1'!D79</f>
        <v>Kelengkapan dan mutu sarana pada kamar bedah: …</v>
      </c>
      <c r="D74" s="84"/>
      <c r="E74" s="461"/>
    </row>
    <row r="75" spans="1:5" s="30" customFormat="1" ht="108.75" customHeight="1" x14ac:dyDescent="0.25">
      <c r="A75" s="126">
        <f>'F1'!A80</f>
        <v>67</v>
      </c>
      <c r="B75" s="183" t="str">
        <f>'F1'!B80</f>
        <v>6.2.2.4</v>
      </c>
      <c r="C75" s="115" t="str">
        <f>'F1'!D80</f>
        <v>Prasarana pendidikan pelengkap RS Pendidikan Afiliasi dan Satelit.: …</v>
      </c>
      <c r="D75" s="84"/>
      <c r="E75" s="461"/>
    </row>
    <row r="76" spans="1:5" s="30" customFormat="1" ht="114.75" customHeight="1" x14ac:dyDescent="0.25">
      <c r="A76" s="126">
        <f>'F1'!A81</f>
        <v>68</v>
      </c>
      <c r="B76" s="183">
        <f>'F1'!B81</f>
        <v>6.3</v>
      </c>
      <c r="C76" s="115" t="str">
        <f>'F1'!D81</f>
        <v>Sistem informasi dan fasilitas yang digunakan PS dalam proses pembelajaran: …</v>
      </c>
      <c r="D76" s="84"/>
      <c r="E76" s="461"/>
    </row>
    <row r="77" spans="1:5" s="30" customFormat="1" ht="81.75" customHeight="1" x14ac:dyDescent="0.25">
      <c r="A77" s="126">
        <f>'F1'!A82</f>
        <v>69</v>
      </c>
      <c r="B77" s="183">
        <f>'F1'!B82</f>
        <v>7.1</v>
      </c>
      <c r="C77" s="115" t="str">
        <f>'F1'!D82</f>
        <v xml:space="preserve">Persentase dosen yang memiliki agenda penelitian sesuai dengan bidang studi dan semua penelitian sesuai dengan agenda. = Rp 83.33%. </v>
      </c>
      <c r="D77" s="84"/>
      <c r="E77" s="461"/>
    </row>
    <row r="78" spans="1:5" s="30" customFormat="1" ht="163.5" customHeight="1" x14ac:dyDescent="0.25">
      <c r="A78" s="126">
        <f>'F1'!A83</f>
        <v>70</v>
      </c>
      <c r="B78" s="183" t="str">
        <f>'F1'!B83</f>
        <v>7.2.1</v>
      </c>
      <c r="C78" s="115" t="str">
        <f>'F1'!D83</f>
        <v xml:space="preserve">Banyaknya dosen di RS Pendidikan = 30 orang. Jumlah keterlibatan dosen di RS Pendidikan dalam publikasi tingkat internasional = 20.00 kali. Jumlah keterlibatan dosen di RS Pendidikan dalam publikasi tingkat nasional = 19.00 kali. Jumlah keterlibatan dosen di RS Pendidikan dalam publikasi tingkat lokal/universitas = 19.00 kali.  </v>
      </c>
      <c r="D78" s="84"/>
      <c r="E78" s="461"/>
    </row>
    <row r="79" spans="1:5" s="30" customFormat="1" ht="110.25" customHeight="1" x14ac:dyDescent="0.25">
      <c r="A79" s="126">
        <f>'F1'!A84</f>
        <v>71</v>
      </c>
      <c r="B79" s="183" t="str">
        <f>'F1'!B84</f>
        <v>7.2.2</v>
      </c>
      <c r="C79" s="115" t="str">
        <f>'F1'!D84</f>
        <v xml:space="preserve">Keterlibatan mahasiswa dalam kegiatan penelitian dosen.  Rasio jumlah mahasiswa yang terlibat dalam penelitian dosen terhadap jumlah mahasiswa yang mengambil tugas akhir pada TS = 30.00%. </v>
      </c>
      <c r="D79" s="84"/>
      <c r="E79" s="461"/>
    </row>
    <row r="80" spans="1:5" s="30" customFormat="1" ht="126" customHeight="1" x14ac:dyDescent="0.25">
      <c r="A80" s="126">
        <f>'F1'!A85</f>
        <v>72</v>
      </c>
      <c r="B80" s="183" t="str">
        <f>'F1'!B85</f>
        <v>7.2.3</v>
      </c>
      <c r="C80" s="115" t="str">
        <f>'F1'!D85</f>
        <v>Karya yang telah memperoleh Paten/HaKI atau karya yang mendapat pengakuan/penghargaan: …</v>
      </c>
      <c r="D80" s="84"/>
      <c r="E80" s="461"/>
    </row>
    <row r="81" spans="1:14" s="30" customFormat="1" ht="81" customHeight="1" x14ac:dyDescent="0.25">
      <c r="A81" s="126">
        <f>'F1'!A86</f>
        <v>73</v>
      </c>
      <c r="B81" s="183">
        <f>'F1'!B86</f>
        <v>7.3</v>
      </c>
      <c r="C81" s="115" t="str">
        <f>'F1'!D86</f>
        <v xml:space="preserve">Rasio keterlibatan dosen di RS Pendidikan (Utama, Afiliasi, dan Satelit) dalam kegiatan pengabdian kepada masyarakat. = 1.00. </v>
      </c>
      <c r="D81" s="84"/>
      <c r="E81" s="461"/>
    </row>
    <row r="82" spans="1:14" s="30" customFormat="1" ht="114" customHeight="1" x14ac:dyDescent="0.25">
      <c r="A82" s="126">
        <f>'F1'!A87</f>
        <v>74</v>
      </c>
      <c r="B82" s="183" t="str">
        <f>'F1'!B87</f>
        <v>7.4.1</v>
      </c>
      <c r="C82" s="115" t="str">
        <f>'F1'!D87</f>
        <v>Jumlah dan relevansi kerjasama dengan instansi di dalam negeri: …</v>
      </c>
      <c r="D82" s="84"/>
      <c r="E82" s="461"/>
    </row>
    <row r="83" spans="1:14" s="30" customFormat="1" ht="128.25" customHeight="1" thickBot="1" x14ac:dyDescent="0.3">
      <c r="A83" s="184">
        <f>'F1'!A88</f>
        <v>75</v>
      </c>
      <c r="B83" s="185" t="str">
        <f>'F1'!B88</f>
        <v>7.4.2</v>
      </c>
      <c r="C83" s="186" t="str">
        <f>'F1'!D88</f>
        <v>Jumlah dan relevansi kerjasama dengan instansi di luar negeri: …</v>
      </c>
      <c r="D83" s="85"/>
      <c r="E83" s="462"/>
    </row>
    <row r="84" spans="1:14" s="60" customFormat="1" ht="20.25" customHeight="1" x14ac:dyDescent="0.25">
      <c r="A84" s="746" t="s">
        <v>89</v>
      </c>
      <c r="B84" s="747"/>
      <c r="C84" s="747"/>
      <c r="D84" s="54"/>
      <c r="E84" s="54"/>
    </row>
    <row r="85" spans="1:14" s="39" customFormat="1" ht="15.75" x14ac:dyDescent="0.25">
      <c r="A85" s="340"/>
      <c r="B85" s="44"/>
      <c r="C85" s="42"/>
      <c r="D85" s="42"/>
      <c r="E85" s="42"/>
    </row>
    <row r="86" spans="1:14" s="39" customFormat="1" ht="41.25" customHeight="1" x14ac:dyDescent="0.25">
      <c r="A86" s="743" t="s">
        <v>927</v>
      </c>
      <c r="B86" s="743"/>
      <c r="C86" s="743"/>
      <c r="D86" s="743"/>
      <c r="E86" s="743"/>
      <c r="F86" s="164"/>
      <c r="G86" s="164"/>
      <c r="H86" s="164"/>
      <c r="I86" s="164"/>
      <c r="J86" s="164"/>
      <c r="K86" s="164"/>
      <c r="L86" s="164"/>
      <c r="M86" s="164"/>
      <c r="N86" s="164"/>
    </row>
    <row r="87" spans="1:14" s="39" customFormat="1" ht="15.75" x14ac:dyDescent="0.25">
      <c r="A87" s="42"/>
      <c r="B87" s="44"/>
      <c r="C87" s="42"/>
      <c r="D87" s="165" t="s">
        <v>310</v>
      </c>
      <c r="E87" s="42"/>
      <c r="F87" s="187"/>
    </row>
    <row r="88" spans="1:14" s="39" customFormat="1" x14ac:dyDescent="0.25">
      <c r="A88" s="42"/>
      <c r="B88" s="44"/>
      <c r="C88" s="42"/>
      <c r="D88" s="42"/>
      <c r="E88" s="42"/>
    </row>
    <row r="89" spans="1:14" s="39" customFormat="1" ht="15.75" x14ac:dyDescent="0.25">
      <c r="A89" s="341"/>
      <c r="B89" s="46"/>
      <c r="C89" s="341"/>
      <c r="D89" s="342" t="s">
        <v>90</v>
      </c>
      <c r="E89" s="162" t="s">
        <v>113</v>
      </c>
    </row>
    <row r="90" spans="1:14" s="39" customFormat="1" ht="19.5" customHeight="1" x14ac:dyDescent="0.25">
      <c r="A90" s="745" t="s">
        <v>91</v>
      </c>
      <c r="B90" s="745"/>
      <c r="C90" s="745"/>
      <c r="D90" s="341"/>
      <c r="E90" s="42"/>
    </row>
    <row r="91" spans="1:14" s="39" customFormat="1" ht="18" customHeight="1" x14ac:dyDescent="0.25">
      <c r="A91" s="745" t="s">
        <v>92</v>
      </c>
      <c r="B91" s="745"/>
      <c r="C91" s="745"/>
      <c r="D91" s="162" t="s">
        <v>241</v>
      </c>
      <c r="E91" s="42"/>
      <c r="F91" s="56"/>
      <c r="G91" s="343"/>
      <c r="H91" s="343"/>
      <c r="I91" s="343"/>
    </row>
    <row r="92" spans="1:14" s="39" customFormat="1" x14ac:dyDescent="0.25">
      <c r="A92" s="341"/>
      <c r="B92" s="46"/>
      <c r="C92" s="42"/>
      <c r="D92" s="42"/>
      <c r="E92" s="42"/>
      <c r="F92" s="343"/>
      <c r="G92" s="343"/>
      <c r="H92" s="343"/>
      <c r="I92" s="343"/>
    </row>
    <row r="93" spans="1:14" s="39" customFormat="1" ht="15.75" x14ac:dyDescent="0.25">
      <c r="A93" s="341"/>
      <c r="B93" s="46"/>
      <c r="C93" s="42"/>
      <c r="D93" s="162" t="s">
        <v>242</v>
      </c>
      <c r="E93" s="42"/>
      <c r="F93" s="341"/>
      <c r="G93" s="341"/>
    </row>
    <row r="94" spans="1:14" s="39" customFormat="1" ht="15.75" x14ac:dyDescent="0.25">
      <c r="A94" s="341"/>
      <c r="B94" s="46"/>
      <c r="C94" s="42"/>
      <c r="D94" s="162"/>
      <c r="E94" s="42"/>
      <c r="F94" s="56"/>
      <c r="G94" s="343"/>
      <c r="H94" s="343"/>
      <c r="I94" s="343"/>
    </row>
    <row r="95" spans="1:14" s="39" customFormat="1" ht="15" customHeight="1" x14ac:dyDescent="0.25">
      <c r="A95" s="745" t="s">
        <v>215</v>
      </c>
      <c r="B95" s="745"/>
      <c r="C95" s="745"/>
      <c r="D95" s="162" t="s">
        <v>243</v>
      </c>
      <c r="E95" s="42"/>
      <c r="F95" s="343"/>
      <c r="G95" s="343"/>
      <c r="H95" s="343"/>
      <c r="I95" s="343"/>
    </row>
    <row r="96" spans="1:14" s="39" customFormat="1" ht="15.75" x14ac:dyDescent="0.25">
      <c r="A96" s="42"/>
      <c r="B96" s="44"/>
      <c r="C96" s="42"/>
      <c r="D96" s="162"/>
      <c r="E96" s="42"/>
    </row>
    <row r="97" spans="1:5" s="39" customFormat="1" ht="15.75" x14ac:dyDescent="0.25">
      <c r="A97" s="42"/>
      <c r="B97" s="44"/>
      <c r="C97" s="42"/>
      <c r="D97" s="162"/>
      <c r="E97" s="42"/>
    </row>
    <row r="98" spans="1:5" s="39" customFormat="1" ht="15.75" x14ac:dyDescent="0.25">
      <c r="A98" s="42"/>
      <c r="B98" s="44"/>
      <c r="C98" s="42"/>
      <c r="D98" s="162"/>
      <c r="E98" s="42"/>
    </row>
    <row r="99" spans="1:5" s="39" customFormat="1" ht="15.75" x14ac:dyDescent="0.25">
      <c r="A99" s="42"/>
      <c r="B99" s="44"/>
      <c r="C99" s="42"/>
      <c r="D99" s="162"/>
      <c r="E99" s="42"/>
    </row>
    <row r="100" spans="1:5" s="39" customFormat="1" ht="15.75" x14ac:dyDescent="0.25">
      <c r="A100" s="42"/>
      <c r="B100" s="44"/>
      <c r="C100" s="42"/>
      <c r="D100" s="162"/>
      <c r="E100" s="42"/>
    </row>
    <row r="101" spans="1:5" s="39" customFormat="1" ht="15.75" x14ac:dyDescent="0.25">
      <c r="A101" s="42"/>
      <c r="B101" s="44"/>
      <c r="C101" s="42"/>
      <c r="D101" s="162"/>
      <c r="E101" s="42"/>
    </row>
    <row r="102" spans="1:5" s="39" customFormat="1" x14ac:dyDescent="0.25">
      <c r="A102" s="42"/>
      <c r="B102" s="44"/>
      <c r="C102" s="42"/>
      <c r="D102" s="42"/>
      <c r="E102" s="42"/>
    </row>
    <row r="103" spans="1:5" s="39" customFormat="1" x14ac:dyDescent="0.25">
      <c r="A103" s="42"/>
      <c r="B103" s="44"/>
      <c r="C103" s="42"/>
      <c r="D103" s="42"/>
      <c r="E103" s="42"/>
    </row>
    <row r="104" spans="1:5" s="39" customFormat="1" x14ac:dyDescent="0.25">
      <c r="A104" s="42"/>
      <c r="B104" s="44"/>
      <c r="C104" s="42"/>
      <c r="D104" s="42"/>
      <c r="E104" s="42"/>
    </row>
    <row r="105" spans="1:5" s="39" customFormat="1" x14ac:dyDescent="0.25">
      <c r="A105" s="42"/>
      <c r="B105" s="44"/>
      <c r="C105" s="42"/>
      <c r="D105" s="42"/>
      <c r="E105" s="42"/>
    </row>
    <row r="106" spans="1:5" s="39" customFormat="1" x14ac:dyDescent="0.25">
      <c r="A106" s="42"/>
      <c r="B106" s="44"/>
      <c r="C106" s="42"/>
      <c r="D106" s="42"/>
      <c r="E106" s="42"/>
    </row>
    <row r="107" spans="1:5" s="39" customFormat="1" x14ac:dyDescent="0.25">
      <c r="A107" s="42"/>
      <c r="B107" s="44"/>
      <c r="C107" s="42"/>
      <c r="D107" s="42"/>
      <c r="E107" s="42"/>
    </row>
    <row r="108" spans="1:5" s="39" customFormat="1" x14ac:dyDescent="0.25">
      <c r="A108" s="42"/>
      <c r="B108" s="44"/>
      <c r="C108" s="42"/>
      <c r="D108" s="42"/>
      <c r="E108" s="42"/>
    </row>
  </sheetData>
  <sheetProtection password="C5FE" sheet="1" objects="1" scenarios="1" formatCells="0" formatColumns="0" formatRows="0"/>
  <mergeCells count="10">
    <mergeCell ref="A90:C90"/>
    <mergeCell ref="A91:C91"/>
    <mergeCell ref="A95:C95"/>
    <mergeCell ref="A84:C84"/>
    <mergeCell ref="A86:E86"/>
    <mergeCell ref="A1:E1"/>
    <mergeCell ref="A3:E3"/>
    <mergeCell ref="A4:E4"/>
    <mergeCell ref="A6:E6"/>
    <mergeCell ref="A7:E7"/>
  </mergeCells>
  <pageMargins left="0.70866141732283472" right="0.70866141732283472"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topLeftCell="A4" workbookViewId="0">
      <selection activeCell="H8" sqref="H8"/>
    </sheetView>
  </sheetViews>
  <sheetFormatPr defaultRowHeight="15" x14ac:dyDescent="0.25"/>
  <cols>
    <col min="1" max="1" width="6.85546875" customWidth="1"/>
    <col min="2" max="2" width="11.42578125" customWidth="1"/>
    <col min="3" max="3" width="28" customWidth="1"/>
    <col min="4" max="4" width="28.42578125" customWidth="1"/>
    <col min="5" max="5" width="14" customWidth="1"/>
  </cols>
  <sheetData>
    <row r="1" spans="1:15" s="39" customFormat="1" ht="39" customHeight="1" x14ac:dyDescent="0.25">
      <c r="A1" s="722" t="s">
        <v>974</v>
      </c>
      <c r="B1" s="722"/>
      <c r="C1" s="722"/>
      <c r="D1" s="722"/>
      <c r="E1" s="722"/>
    </row>
    <row r="2" spans="1:15" s="39" customFormat="1" ht="15.75" x14ac:dyDescent="0.25">
      <c r="A2" s="50"/>
      <c r="B2" s="44"/>
      <c r="C2" s="42"/>
      <c r="D2" s="42"/>
      <c r="E2" s="42"/>
    </row>
    <row r="3" spans="1:15" s="39" customFormat="1" ht="40.5" customHeight="1" x14ac:dyDescent="0.25">
      <c r="A3" s="751" t="s">
        <v>975</v>
      </c>
      <c r="B3" s="751"/>
      <c r="C3" s="751"/>
      <c r="D3" s="751"/>
      <c r="E3" s="751"/>
    </row>
    <row r="4" spans="1:15" s="39" customFormat="1" ht="15.75" x14ac:dyDescent="0.25">
      <c r="A4" s="160"/>
      <c r="B4" s="44"/>
      <c r="C4" s="42"/>
      <c r="D4" s="42"/>
      <c r="E4" s="42"/>
    </row>
    <row r="5" spans="1:15" s="39" customFormat="1" ht="54.75" customHeight="1" x14ac:dyDescent="0.25">
      <c r="A5" s="743" t="s">
        <v>1011</v>
      </c>
      <c r="B5" s="743"/>
      <c r="C5" s="743"/>
      <c r="D5" s="743"/>
      <c r="E5" s="743"/>
      <c r="F5" s="343"/>
      <c r="G5" s="343"/>
      <c r="H5" s="343"/>
      <c r="I5" s="343"/>
      <c r="J5" s="343"/>
      <c r="K5" s="343"/>
      <c r="L5" s="343"/>
      <c r="M5" s="343"/>
      <c r="N5" s="343"/>
      <c r="O5" s="343"/>
    </row>
    <row r="6" spans="1:15" s="39" customFormat="1" ht="51" customHeight="1" thickBot="1" x14ac:dyDescent="0.3">
      <c r="A6" s="743" t="s">
        <v>86</v>
      </c>
      <c r="B6" s="743"/>
      <c r="C6" s="743"/>
      <c r="D6" s="743"/>
      <c r="E6" s="743"/>
      <c r="F6" s="343"/>
      <c r="G6" s="343"/>
      <c r="H6" s="343"/>
      <c r="I6" s="343"/>
      <c r="J6" s="343"/>
      <c r="K6" s="343"/>
      <c r="L6" s="343"/>
      <c r="M6" s="343"/>
      <c r="N6" s="343"/>
      <c r="O6" s="343"/>
    </row>
    <row r="7" spans="1:15" s="30" customFormat="1" ht="63" customHeight="1" thickBot="1" x14ac:dyDescent="0.3">
      <c r="A7" s="112" t="s">
        <v>1</v>
      </c>
      <c r="B7" s="123" t="s">
        <v>2</v>
      </c>
      <c r="C7" s="123" t="s">
        <v>240</v>
      </c>
      <c r="D7" s="123" t="s">
        <v>246</v>
      </c>
      <c r="E7" s="124" t="s">
        <v>88</v>
      </c>
    </row>
    <row r="8" spans="1:15" s="30" customFormat="1" ht="93" customHeight="1" x14ac:dyDescent="0.25">
      <c r="A8" s="126">
        <f>'F3'!A13</f>
        <v>1</v>
      </c>
      <c r="B8" s="183" t="str">
        <f>'F3'!B13</f>
        <v>1.1.1</v>
      </c>
      <c r="C8" s="188" t="str">
        <f>'F3'!D13</f>
        <v>Kejelasan dan kerealistikan visi, misi, tujuan, dan sasaran Fakultas/Sekolah Tinggi: …</v>
      </c>
      <c r="D8" s="86"/>
      <c r="E8" s="460"/>
    </row>
    <row r="9" spans="1:15" s="30" customFormat="1" ht="102.75" customHeight="1" x14ac:dyDescent="0.25">
      <c r="A9" s="189">
        <f>'F3'!A14</f>
        <v>2</v>
      </c>
      <c r="B9" s="190" t="str">
        <f>'F3'!B14</f>
        <v>1.1.2</v>
      </c>
      <c r="C9" s="213" t="str">
        <f>'F3'!D14</f>
        <v>Strategi pencapaian sasaran dengan rentang waktu yang jelas dan didukung oleh dokumen: …</v>
      </c>
      <c r="D9" s="84"/>
      <c r="E9" s="461"/>
    </row>
    <row r="10" spans="1:15" s="30" customFormat="1" ht="108.75" customHeight="1" x14ac:dyDescent="0.25">
      <c r="A10" s="189">
        <f>'F3'!A15</f>
        <v>3</v>
      </c>
      <c r="B10" s="190">
        <f>'F3'!B15</f>
        <v>1.2</v>
      </c>
      <c r="C10" s="213" t="str">
        <f>'F3'!D15</f>
        <v>Efektivitas sosialisasi visi, misi PS. Tingkat pemahaman sivitas akademika dan tenaga kependidikan: …</v>
      </c>
      <c r="D10" s="84"/>
      <c r="E10" s="461"/>
    </row>
    <row r="11" spans="1:15" s="30" customFormat="1" ht="81.75" customHeight="1" x14ac:dyDescent="0.25">
      <c r="A11" s="189">
        <f>'F3'!A16</f>
        <v>4</v>
      </c>
      <c r="B11" s="190">
        <f>'F3'!B16</f>
        <v>2.1</v>
      </c>
      <c r="C11" s="213" t="str">
        <f>'F3'!D16</f>
        <v>Tata pamong pada UP PS: …</v>
      </c>
      <c r="D11" s="84"/>
      <c r="E11" s="461"/>
    </row>
    <row r="12" spans="1:15" s="30" customFormat="1" ht="111" customHeight="1" x14ac:dyDescent="0.25">
      <c r="A12" s="189">
        <f>'F3'!A17</f>
        <v>5</v>
      </c>
      <c r="B12" s="190">
        <f>'F3'!B17</f>
        <v>2.2000000000000002</v>
      </c>
      <c r="C12" s="213" t="str">
        <f>'F3'!D17</f>
        <v>Kelengkapan dan efisiensi dalam struktur organisasi, serta dukungan struktur organisasi terhadap pengelolaan PS: …</v>
      </c>
      <c r="D12" s="84"/>
      <c r="E12" s="461"/>
    </row>
    <row r="13" spans="1:15" s="30" customFormat="1" ht="89.25" customHeight="1" x14ac:dyDescent="0.25">
      <c r="A13" s="189">
        <f>'F3'!A18</f>
        <v>6</v>
      </c>
      <c r="B13" s="190">
        <f>'F3'!B18</f>
        <v>2.2999999999999998</v>
      </c>
      <c r="C13" s="213" t="str">
        <f>'F3'!D18</f>
        <v>Kepemimpinan fakultas: …</v>
      </c>
      <c r="D13" s="84"/>
      <c r="E13" s="461"/>
    </row>
    <row r="14" spans="1:15" s="30" customFormat="1" ht="105.75" customHeight="1" x14ac:dyDescent="0.25">
      <c r="A14" s="189">
        <f>'F3'!A19</f>
        <v>7</v>
      </c>
      <c r="B14" s="190">
        <f>'F3'!B19</f>
        <v>2.4</v>
      </c>
      <c r="C14" s="213" t="str">
        <f>'F3'!D19</f>
        <v>Sistem pengelolaan fungsional dan operasional Fakultas/Sekolah Tinggi: …</v>
      </c>
      <c r="D14" s="84"/>
      <c r="E14" s="461"/>
    </row>
    <row r="15" spans="1:15" s="30" customFormat="1" ht="95.25" customHeight="1" x14ac:dyDescent="0.25">
      <c r="A15" s="189">
        <f>'F3'!A20</f>
        <v>8</v>
      </c>
      <c r="B15" s="190" t="str">
        <f>'F3'!B20</f>
        <v>2.5.1</v>
      </c>
      <c r="C15" s="213" t="str">
        <f>'F3'!D20</f>
        <v>Keberadaan dan efektivitas unit pelaksana penjaminan mutu: …</v>
      </c>
      <c r="D15" s="84"/>
      <c r="E15" s="461"/>
    </row>
    <row r="16" spans="1:15" s="30" customFormat="1" ht="86.25" customHeight="1" x14ac:dyDescent="0.25">
      <c r="A16" s="189">
        <f>'F3'!A21</f>
        <v>9</v>
      </c>
      <c r="B16" s="190" t="str">
        <f>'F3'!B21</f>
        <v>2.5.2</v>
      </c>
      <c r="C16" s="213" t="str">
        <f>'F3'!D21</f>
        <v>Memiliki standar mutu: …</v>
      </c>
      <c r="D16" s="84"/>
      <c r="E16" s="461"/>
    </row>
    <row r="17" spans="1:5" s="30" customFormat="1" ht="112.5" customHeight="1" x14ac:dyDescent="0.25">
      <c r="A17" s="189">
        <f>'F3'!A22</f>
        <v>10</v>
      </c>
      <c r="B17" s="190" t="str">
        <f>'F3'!B22</f>
        <v>3.1.1</v>
      </c>
      <c r="C17" s="213" t="str">
        <f>'F3'!D22</f>
        <v>Sistem penerimaan  mahasiswa baru  dan konsistensi pelaksanaannya: …</v>
      </c>
      <c r="D17" s="84"/>
      <c r="E17" s="461"/>
    </row>
    <row r="18" spans="1:5" s="30" customFormat="1" ht="61.5" customHeight="1" x14ac:dyDescent="0.25">
      <c r="A18" s="189">
        <f>'F3'!A23</f>
        <v>11</v>
      </c>
      <c r="B18" s="190" t="str">
        <f>'F3'!B23</f>
        <v>3.1.2</v>
      </c>
      <c r="C18" s="213" t="str">
        <f>'F3'!D23</f>
        <v xml:space="preserve">Rasio total mahasiswa baru transfer terhadap total mahasiswa baru keseluruhan = 7/100 = 0.07. </v>
      </c>
      <c r="D18" s="84"/>
      <c r="E18" s="461"/>
    </row>
    <row r="19" spans="1:5" s="30" customFormat="1" ht="102" customHeight="1" x14ac:dyDescent="0.25">
      <c r="A19" s="189">
        <f>'F3'!A24</f>
        <v>12</v>
      </c>
      <c r="B19" s="190" t="str">
        <f>'F3'!B24</f>
        <v>3.1.3</v>
      </c>
      <c r="C19" s="213" t="str">
        <f>'F3'!D24</f>
        <v>Motivasi penerimaan mahasiswa transfer dan mahasiswa program internasional: …</v>
      </c>
      <c r="D19" s="84"/>
      <c r="E19" s="461"/>
    </row>
    <row r="20" spans="1:5" s="30" customFormat="1" ht="56.25" customHeight="1" x14ac:dyDescent="0.25">
      <c r="A20" s="189">
        <f>'F3'!A25</f>
        <v>13</v>
      </c>
      <c r="B20" s="190">
        <f>'F3'!B25</f>
        <v>3.2</v>
      </c>
      <c r="C20" s="213" t="str">
        <f>'F3'!D25</f>
        <v xml:space="preserve">Rata-rata persentase kelulusan tepat waktu = 50.00%. Rata-rata persentase lulusan dengan IPK ≥ 3.0 = 30.00%. </v>
      </c>
      <c r="D20" s="84"/>
      <c r="E20" s="461"/>
    </row>
    <row r="21" spans="1:5" s="30" customFormat="1" ht="106.5" customHeight="1" x14ac:dyDescent="0.25">
      <c r="A21" s="189">
        <f>'F3'!A26</f>
        <v>14</v>
      </c>
      <c r="B21" s="190">
        <f>'F3'!B26</f>
        <v>3.3</v>
      </c>
      <c r="C21" s="213" t="str">
        <f>'F3'!D26</f>
        <v>Upaya pengembangan dan peningkatan mutu lulusan:…</v>
      </c>
      <c r="D21" s="84"/>
      <c r="E21" s="461"/>
    </row>
    <row r="22" spans="1:5" s="30" customFormat="1" ht="54" customHeight="1" x14ac:dyDescent="0.25">
      <c r="A22" s="189">
        <f>'F3'!A27</f>
        <v>15</v>
      </c>
      <c r="B22" s="190" t="str">
        <f>'F3'!B27</f>
        <v>4.1.1.1</v>
      </c>
      <c r="C22" s="213" t="str">
        <f>'F3'!D27</f>
        <v xml:space="preserve">Persentase dosen tetap berpendidikan minimal S-3/Sp. = (25/40) x 100% = 62.50%. </v>
      </c>
      <c r="D22" s="84"/>
      <c r="E22" s="461"/>
    </row>
    <row r="23" spans="1:5" s="30" customFormat="1" ht="66.75" customHeight="1" x14ac:dyDescent="0.25">
      <c r="A23" s="189">
        <f>'F3'!A28</f>
        <v>16</v>
      </c>
      <c r="B23" s="190" t="str">
        <f>'F3'!B28</f>
        <v>4.1.1.2</v>
      </c>
      <c r="C23" s="213" t="str">
        <f>'F3'!D28</f>
        <v xml:space="preserve">Persentase dosen tetap yang memiliki jabatan minimal lektor kepala = (15/40) x 100% = 37.50%. </v>
      </c>
      <c r="D23" s="84"/>
      <c r="E23" s="461"/>
    </row>
    <row r="24" spans="1:5" s="30" customFormat="1" ht="54" customHeight="1" x14ac:dyDescent="0.25">
      <c r="A24" s="189">
        <f>'F3'!A29</f>
        <v>17</v>
      </c>
      <c r="B24" s="190" t="str">
        <f>'F3'!B29</f>
        <v>4.1.1.3</v>
      </c>
      <c r="C24" s="213" t="str">
        <f>'F3'!D29</f>
        <v xml:space="preserve">Persentase dosen tetap yang memiliki jabatan guru besar = (10/40) x 100% = 25.00%. </v>
      </c>
      <c r="D24" s="84"/>
      <c r="E24" s="461"/>
    </row>
    <row r="25" spans="1:5" s="30" customFormat="1" ht="93" customHeight="1" x14ac:dyDescent="0.25">
      <c r="A25" s="189">
        <f>'F3'!A30</f>
        <v>18</v>
      </c>
      <c r="B25" s="190" t="str">
        <f>'F3'!B30</f>
        <v>4.1.2.1</v>
      </c>
      <c r="C25" s="213" t="str">
        <f>'F3'!D30</f>
        <v>Upaya pengembangan dan peningkatan mutu dosen tetap: …</v>
      </c>
      <c r="D25" s="84"/>
      <c r="E25" s="461"/>
    </row>
    <row r="26" spans="1:5" s="30" customFormat="1" ht="81.75" customHeight="1" x14ac:dyDescent="0.25">
      <c r="A26" s="189">
        <f>'F3'!A31</f>
        <v>19</v>
      </c>
      <c r="B26" s="190" t="str">
        <f>'F3'!B31</f>
        <v>4.1.2.2</v>
      </c>
      <c r="C26" s="213" t="str">
        <f>'F3'!D31</f>
        <v>Dosen yang tugas belajar: …</v>
      </c>
      <c r="D26" s="84"/>
      <c r="E26" s="461"/>
    </row>
    <row r="27" spans="1:5" s="30" customFormat="1" ht="85.5" customHeight="1" x14ac:dyDescent="0.25">
      <c r="A27" s="189">
        <f>'F3'!A32</f>
        <v>20</v>
      </c>
      <c r="B27" s="190" t="str">
        <f>'F3'!B32</f>
        <v>4.1.2.3</v>
      </c>
      <c r="C27" s="213" t="str">
        <f>'F3'!D32</f>
        <v>Dosen yang memperoleh gelar tambahan: …</v>
      </c>
      <c r="D27" s="84"/>
      <c r="E27" s="461"/>
    </row>
    <row r="28" spans="1:5" s="30" customFormat="1" ht="102" customHeight="1" x14ac:dyDescent="0.25">
      <c r="A28" s="189">
        <f>'F3'!A33</f>
        <v>21</v>
      </c>
      <c r="B28" s="190" t="str">
        <f>'F3'!B33</f>
        <v>4.1.3</v>
      </c>
      <c r="C28" s="213" t="str">
        <f>'F3'!D33</f>
        <v>Upaya fakultas dalam mengembangkan tenaga dosen tetap: …</v>
      </c>
      <c r="D28" s="84"/>
      <c r="E28" s="461"/>
    </row>
    <row r="29" spans="1:5" s="30" customFormat="1" ht="85.5" customHeight="1" x14ac:dyDescent="0.25">
      <c r="A29" s="189">
        <f>'F3'!A34</f>
        <v>22</v>
      </c>
      <c r="B29" s="190">
        <f>'F3'!B34</f>
        <v>4.2</v>
      </c>
      <c r="C29" s="213" t="str">
        <f>'F3'!D34</f>
        <v>Kecukupan dan kualifikasi tenaga kependidikan: …</v>
      </c>
      <c r="D29" s="84"/>
      <c r="E29" s="461"/>
    </row>
    <row r="30" spans="1:5" s="30" customFormat="1" ht="126" customHeight="1" x14ac:dyDescent="0.25">
      <c r="A30" s="189">
        <f>'F3'!A35</f>
        <v>23</v>
      </c>
      <c r="B30" s="190">
        <f>'F3'!B35</f>
        <v>5.0999999999999996</v>
      </c>
      <c r="C30" s="213" t="str">
        <f>'F3'!D35</f>
        <v>Bentuk dukungan Fakultas dalam penyusunan, implementasi, dan pengembangan kurikulum: …</v>
      </c>
      <c r="D30" s="84"/>
      <c r="E30" s="461"/>
    </row>
    <row r="31" spans="1:5" s="30" customFormat="1" ht="99" customHeight="1" x14ac:dyDescent="0.25">
      <c r="A31" s="189">
        <f>'F3'!A36</f>
        <v>24</v>
      </c>
      <c r="B31" s="190">
        <f>'F3'!B36</f>
        <v>5.2</v>
      </c>
      <c r="C31" s="213" t="str">
        <f>'F3'!D36</f>
        <v>Mekanisme monitoring dan evaluasi oleh fakultas dan pemanfaatan hasilnya: …</v>
      </c>
      <c r="D31" s="84"/>
      <c r="E31" s="461"/>
    </row>
    <row r="32" spans="1:5" s="30" customFormat="1" ht="98.25" customHeight="1" x14ac:dyDescent="0.25">
      <c r="A32" s="189">
        <f>'F3'!A37</f>
        <v>25</v>
      </c>
      <c r="B32" s="190">
        <f>'F3'!B37</f>
        <v>5.3</v>
      </c>
      <c r="C32" s="213" t="str">
        <f>'F3'!D37</f>
        <v>Bentuk dukungan Fakultas dalam penciptaan suasana akademik yang kondusif: …</v>
      </c>
      <c r="D32" s="84"/>
      <c r="E32" s="461"/>
    </row>
    <row r="33" spans="1:5" s="30" customFormat="1" ht="112.5" customHeight="1" x14ac:dyDescent="0.25">
      <c r="A33" s="189">
        <f>'F3'!A38</f>
        <v>26</v>
      </c>
      <c r="B33" s="190" t="str">
        <f>'F3'!B38</f>
        <v>6.1.1</v>
      </c>
      <c r="C33" s="213" t="str">
        <f>'F3'!D38</f>
        <v xml:space="preserve">Total dana yang diperoleh dari mahasiswa dalam tiga tahun terakhir = Rp 30 juta. Total penerimaan dana dari berbagai sumber dalam tiga tahun terakhir = Rp 100 juta. Persentase dana fakultas yang berasal dari mahasiswa = 30.00%. </v>
      </c>
      <c r="D33" s="84"/>
      <c r="E33" s="461"/>
    </row>
    <row r="34" spans="1:5" s="30" customFormat="1" ht="90" customHeight="1" x14ac:dyDescent="0.25">
      <c r="A34" s="189">
        <f>'F3'!A39</f>
        <v>27</v>
      </c>
      <c r="B34" s="190" t="str">
        <f>'F3'!B39</f>
        <v>6.1.2.1</v>
      </c>
      <c r="C34" s="213" t="str">
        <f>'F3'!D39</f>
        <v>Kecukupan dana yang diperoleh Fakultas: …</v>
      </c>
      <c r="D34" s="84"/>
      <c r="E34" s="461"/>
    </row>
    <row r="35" spans="1:5" s="30" customFormat="1" ht="91.5" customHeight="1" x14ac:dyDescent="0.25">
      <c r="A35" s="189">
        <f>'F3'!A40</f>
        <v>28</v>
      </c>
      <c r="B35" s="190" t="str">
        <f>'F3'!B40</f>
        <v>6.1.2.2</v>
      </c>
      <c r="C35" s="213" t="str">
        <f>'F3'!D40</f>
        <v>Upaya pengembangan dana oleh Fakultas: …</v>
      </c>
      <c r="D35" s="84"/>
      <c r="E35" s="461"/>
    </row>
    <row r="36" spans="1:5" s="30" customFormat="1" ht="114.75" customHeight="1" x14ac:dyDescent="0.25">
      <c r="A36" s="189">
        <f>'F3'!A41</f>
        <v>29</v>
      </c>
      <c r="B36" s="190" t="str">
        <f>'F3'!B41</f>
        <v>6.2.1</v>
      </c>
      <c r="C36" s="213" t="str">
        <f>'F3'!D41</f>
        <v>Investasi untuk pengadaan sarana dalam tiga tahun terakhir dibandingkan dengan kebutuhan saat ini: …</v>
      </c>
      <c r="D36" s="84"/>
      <c r="E36" s="461"/>
    </row>
    <row r="37" spans="1:5" s="30" customFormat="1" ht="102" customHeight="1" x14ac:dyDescent="0.25">
      <c r="A37" s="189">
        <f>'F3'!A42</f>
        <v>30</v>
      </c>
      <c r="B37" s="190" t="str">
        <f>'F3'!B42</f>
        <v>6.2.2</v>
      </c>
      <c r="C37" s="213" t="str">
        <f>'F3'!D42</f>
        <v>Rencana investasi untuk pengadaan sarana dalam lima tahun ke depan: …</v>
      </c>
      <c r="D37" s="84"/>
      <c r="E37" s="461"/>
    </row>
    <row r="38" spans="1:5" s="30" customFormat="1" ht="98.25" customHeight="1" x14ac:dyDescent="0.25">
      <c r="A38" s="189">
        <f>'F3'!A43</f>
        <v>31</v>
      </c>
      <c r="B38" s="190" t="str">
        <f>'F3'!B43</f>
        <v>6.3.1</v>
      </c>
      <c r="C38" s="213" t="str">
        <f>'F3'!D43</f>
        <v>Mutu, kecukupan, akses prasarana yang dikelola Fakultas untuk PS: …</v>
      </c>
      <c r="D38" s="84"/>
      <c r="E38" s="461"/>
    </row>
    <row r="39" spans="1:5" s="30" customFormat="1" ht="96" customHeight="1" x14ac:dyDescent="0.25">
      <c r="A39" s="189">
        <f>'F3'!A44</f>
        <v>32</v>
      </c>
      <c r="B39" s="190" t="str">
        <f>'F3'!B44</f>
        <v>6.3.2</v>
      </c>
      <c r="C39" s="213" t="str">
        <f>'F3'!D44</f>
        <v>Rencana pengembangan prasarana oleh Fakultas untuk PS: …</v>
      </c>
      <c r="D39" s="84"/>
      <c r="E39" s="461"/>
    </row>
    <row r="40" spans="1:5" s="30" customFormat="1" ht="111" customHeight="1" x14ac:dyDescent="0.25">
      <c r="A40" s="189">
        <f>'F3'!A45</f>
        <v>33</v>
      </c>
      <c r="B40" s="190" t="str">
        <f>'F3'!B45</f>
        <v>6.4.1.1</v>
      </c>
      <c r="C40" s="213" t="str">
        <f>'F3'!D45</f>
        <v>Sistem informasi dan fasilitas yang digunakan Fakultas/Sekolah Tinggi dalam proses pembelajaran: …</v>
      </c>
      <c r="D40" s="84"/>
      <c r="E40" s="461"/>
    </row>
    <row r="41" spans="1:5" s="30" customFormat="1" ht="103.5" customHeight="1" x14ac:dyDescent="0.25">
      <c r="A41" s="189">
        <f>'F3'!A46</f>
        <v>34</v>
      </c>
      <c r="B41" s="190" t="str">
        <f>'F3'!B46</f>
        <v>6.4.1.2</v>
      </c>
      <c r="C41" s="213" t="str">
        <f>'F3'!D46</f>
        <v>Sistem informasi dan fasilitas yang digunakan Fakultas dalam administrasi: …</v>
      </c>
      <c r="D41" s="84"/>
      <c r="E41" s="461"/>
    </row>
    <row r="42" spans="1:5" s="30" customFormat="1" ht="158.25" customHeight="1" x14ac:dyDescent="0.25">
      <c r="A42" s="189">
        <f>'F3'!A47</f>
        <v>35</v>
      </c>
      <c r="B42" s="190" t="str">
        <f>'F3'!B47</f>
        <v>6.4.2</v>
      </c>
      <c r="C42" s="213" t="str">
        <f>'F3'!D47</f>
        <v xml:space="preserve">Aksesibilitas data dalam sistem informasi. Ada 12 jenis data. Data yang dikelola dengan komputer yang terhubung jaringan luas (WAN) = 12 jenis. </v>
      </c>
      <c r="D42" s="84"/>
      <c r="E42" s="461"/>
    </row>
    <row r="43" spans="1:5" s="30" customFormat="1" ht="104.25" customHeight="1" x14ac:dyDescent="0.25">
      <c r="A43" s="189">
        <f>'F3'!A48</f>
        <v>36</v>
      </c>
      <c r="B43" s="190" t="str">
        <f>'F3'!B48</f>
        <v>6.4.3</v>
      </c>
      <c r="C43" s="213" t="str">
        <f>'F3'!D48</f>
        <v>Media/cara penyebaran informasi untuk sivitas akademika di Fakultas: …</v>
      </c>
      <c r="D43" s="84"/>
      <c r="E43" s="461"/>
    </row>
    <row r="44" spans="1:5" s="30" customFormat="1" ht="108" customHeight="1" x14ac:dyDescent="0.25">
      <c r="A44" s="189">
        <f>'F3'!A49</f>
        <v>37</v>
      </c>
      <c r="B44" s="190" t="str">
        <f>'F3'!B49</f>
        <v>6.4.4</v>
      </c>
      <c r="C44" s="213" t="str">
        <f>'F3'!D49</f>
        <v>Rencana strategis pengembangan sistem informasi jangka panjang: …</v>
      </c>
      <c r="D44" s="84"/>
      <c r="E44" s="461"/>
    </row>
    <row r="45" spans="1:5" s="30" customFormat="1" ht="103.5" customHeight="1" x14ac:dyDescent="0.25">
      <c r="A45" s="189">
        <f>'F3'!A50</f>
        <v>38</v>
      </c>
      <c r="B45" s="190" t="str">
        <f>'F3'!B50</f>
        <v>7.1.1.1</v>
      </c>
      <c r="C45" s="213" t="str">
        <f>'F3'!D50</f>
        <v>Jumlah dan mutu kegiatan penelitian, dibandingkan dengan banyaknya dosen: …</v>
      </c>
      <c r="D45" s="84"/>
      <c r="E45" s="461"/>
    </row>
    <row r="46" spans="1:5" s="30" customFormat="1" ht="66.75" customHeight="1" x14ac:dyDescent="0.25">
      <c r="A46" s="189">
        <f>'F3'!A51</f>
        <v>39</v>
      </c>
      <c r="B46" s="190" t="str">
        <f>'F3'!B51</f>
        <v>7.1.1.2</v>
      </c>
      <c r="C46" s="213" t="str">
        <f>'F3'!D51</f>
        <v>Besar dana penelitian per dosen tetap per tahun: …</v>
      </c>
      <c r="D46" s="84"/>
      <c r="E46" s="461"/>
    </row>
    <row r="47" spans="1:5" s="30" customFormat="1" ht="92.25" customHeight="1" x14ac:dyDescent="0.25">
      <c r="A47" s="189">
        <f>'F3'!A52</f>
        <v>40</v>
      </c>
      <c r="B47" s="190" t="str">
        <f>'F3'!B52</f>
        <v>7.1.2</v>
      </c>
      <c r="C47" s="213" t="str">
        <f>'F3'!D52</f>
        <v>Upaya pengembangan kegiatan penelitian oleh pihak Fakultas: …</v>
      </c>
      <c r="D47" s="84"/>
      <c r="E47" s="461"/>
    </row>
    <row r="48" spans="1:5" s="30" customFormat="1" ht="104.25" customHeight="1" x14ac:dyDescent="0.25">
      <c r="A48" s="189">
        <f>'F3'!A53</f>
        <v>41</v>
      </c>
      <c r="B48" s="190" t="str">
        <f>'F3'!B53</f>
        <v>7.2.1.1</v>
      </c>
      <c r="C48" s="213" t="str">
        <f>'F3'!D53</f>
        <v>Jumlah dan mutu kegiatan PkM, dibandingkan dengan banyaknya dosen: …</v>
      </c>
      <c r="D48" s="84"/>
      <c r="E48" s="461"/>
    </row>
    <row r="49" spans="1:14" s="30" customFormat="1" ht="84" customHeight="1" x14ac:dyDescent="0.25">
      <c r="A49" s="189">
        <f>'F3'!A54</f>
        <v>42</v>
      </c>
      <c r="B49" s="190" t="str">
        <f>'F3'!B54</f>
        <v>7.2.1.2</v>
      </c>
      <c r="C49" s="213" t="str">
        <f>'F3'!D54</f>
        <v>Besar dana PkM per dosen tetap per tahun: …</v>
      </c>
      <c r="D49" s="84"/>
      <c r="E49" s="461"/>
    </row>
    <row r="50" spans="1:14" s="30" customFormat="1" ht="96.75" customHeight="1" x14ac:dyDescent="0.25">
      <c r="A50" s="189">
        <f>'F3'!A55</f>
        <v>43</v>
      </c>
      <c r="B50" s="190" t="str">
        <f>'F3'!B55</f>
        <v>7.2.2</v>
      </c>
      <c r="C50" s="213" t="str">
        <f>'F3'!D55</f>
        <v>Upaya pengembangan kegiatan PkM: …</v>
      </c>
      <c r="D50" s="84"/>
      <c r="E50" s="461"/>
    </row>
    <row r="51" spans="1:14" s="30" customFormat="1" ht="120" customHeight="1" x14ac:dyDescent="0.25">
      <c r="A51" s="189">
        <f>'F3'!A56</f>
        <v>44</v>
      </c>
      <c r="B51" s="190" t="str">
        <f>'F3'!B56</f>
        <v>7.3.1</v>
      </c>
      <c r="C51" s="213" t="str">
        <f>'F3'!D56</f>
        <v>Kegiatan kerjasama dengan instansi di dalam negeri dalam tiga tahun terakhir: …</v>
      </c>
      <c r="D51" s="84"/>
      <c r="E51" s="461"/>
    </row>
    <row r="52" spans="1:14" s="30" customFormat="1" ht="123" customHeight="1" thickBot="1" x14ac:dyDescent="0.3">
      <c r="A52" s="191">
        <f>'F3'!A57</f>
        <v>45</v>
      </c>
      <c r="B52" s="192" t="str">
        <f>'F3'!B57</f>
        <v>7.3.2</v>
      </c>
      <c r="C52" s="159" t="str">
        <f>'F3'!D57</f>
        <v>Kegiatan kerjasama dengan instansi di luar negeri dalam tiga tahun terakhir: …</v>
      </c>
      <c r="D52" s="194"/>
      <c r="E52" s="193"/>
    </row>
    <row r="53" spans="1:14" s="30" customFormat="1" x14ac:dyDescent="0.25">
      <c r="A53" s="749" t="s">
        <v>89</v>
      </c>
      <c r="B53" s="750"/>
      <c r="C53" s="750"/>
      <c r="D53" s="32"/>
      <c r="E53" s="32"/>
    </row>
    <row r="54" spans="1:14" s="39" customFormat="1" ht="15.75" x14ac:dyDescent="0.25">
      <c r="A54" s="340"/>
      <c r="B54" s="44"/>
      <c r="C54" s="42"/>
      <c r="D54" s="42"/>
      <c r="E54" s="42"/>
    </row>
    <row r="55" spans="1:14" s="39" customFormat="1" ht="52.5" customHeight="1" x14ac:dyDescent="0.25">
      <c r="A55" s="743" t="s">
        <v>976</v>
      </c>
      <c r="B55" s="743"/>
      <c r="C55" s="743"/>
      <c r="D55" s="743"/>
      <c r="E55" s="743"/>
      <c r="F55" s="343"/>
      <c r="G55" s="343"/>
      <c r="H55" s="343"/>
      <c r="I55" s="343"/>
      <c r="J55" s="343"/>
      <c r="K55" s="343"/>
      <c r="L55" s="343"/>
      <c r="M55" s="343"/>
      <c r="N55" s="343"/>
    </row>
    <row r="56" spans="1:14" s="39" customFormat="1" ht="15.75" x14ac:dyDescent="0.25">
      <c r="A56" s="340"/>
      <c r="B56" s="44"/>
      <c r="C56" s="42"/>
      <c r="D56" s="42"/>
      <c r="E56" s="42"/>
    </row>
    <row r="57" spans="1:14" s="39" customFormat="1" ht="15.75" x14ac:dyDescent="0.25">
      <c r="A57" s="42"/>
      <c r="B57" s="44"/>
      <c r="C57" s="42"/>
      <c r="D57" s="345" t="str">
        <f>'F4'!D87</f>
        <v>...................., ... - ....- 2014</v>
      </c>
      <c r="E57" s="94"/>
      <c r="F57" s="94"/>
      <c r="G57" s="94"/>
    </row>
    <row r="58" spans="1:14" s="39" customFormat="1" x14ac:dyDescent="0.25">
      <c r="A58" s="42"/>
      <c r="B58" s="44"/>
      <c r="C58" s="42"/>
      <c r="D58" s="42"/>
      <c r="E58" s="42"/>
    </row>
    <row r="59" spans="1:14" s="39" customFormat="1" x14ac:dyDescent="0.25">
      <c r="A59" s="341"/>
      <c r="B59" s="46"/>
      <c r="C59" s="341"/>
      <c r="D59" s="341"/>
      <c r="E59" s="42"/>
    </row>
    <row r="60" spans="1:14" s="39" customFormat="1" ht="15" customHeight="1" x14ac:dyDescent="0.25">
      <c r="A60" s="167" t="s">
        <v>114</v>
      </c>
      <c r="B60" s="56"/>
      <c r="C60" s="56"/>
      <c r="D60" s="342" t="s">
        <v>90</v>
      </c>
      <c r="E60" s="50" t="s">
        <v>113</v>
      </c>
    </row>
    <row r="61" spans="1:14" s="39" customFormat="1" ht="15" customHeight="1" x14ac:dyDescent="0.25">
      <c r="A61" s="56"/>
      <c r="B61" s="56"/>
      <c r="C61" s="56"/>
      <c r="D61" s="344"/>
      <c r="E61" s="42"/>
      <c r="G61" s="343"/>
      <c r="H61" s="343"/>
      <c r="I61" s="343"/>
    </row>
    <row r="62" spans="1:14" s="39" customFormat="1" x14ac:dyDescent="0.25">
      <c r="A62" s="341"/>
      <c r="B62" s="46"/>
      <c r="C62" s="42"/>
      <c r="D62" s="165" t="str">
        <f>'F4'!D91</f>
        <v>1. &lt;Nama Asesor 1&gt;</v>
      </c>
      <c r="E62" s="42"/>
      <c r="F62" s="343"/>
      <c r="G62" s="343"/>
      <c r="H62" s="343"/>
      <c r="I62" s="343"/>
    </row>
    <row r="63" spans="1:14" s="39" customFormat="1" x14ac:dyDescent="0.25">
      <c r="A63" s="341"/>
      <c r="B63" s="46"/>
      <c r="C63" s="42"/>
      <c r="D63" s="165"/>
      <c r="E63" s="42"/>
      <c r="F63" s="341"/>
      <c r="G63" s="341"/>
    </row>
    <row r="64" spans="1:14" s="39" customFormat="1" x14ac:dyDescent="0.25">
      <c r="A64" s="341"/>
      <c r="B64" s="345" t="s">
        <v>228</v>
      </c>
      <c r="C64" s="42"/>
      <c r="D64" s="165" t="str">
        <f>'F4'!D93</f>
        <v>2. &lt;Nama Asesor 2&gt;</v>
      </c>
      <c r="E64" s="42"/>
      <c r="G64" s="343"/>
      <c r="H64" s="343"/>
      <c r="I64" s="343"/>
    </row>
    <row r="65" spans="1:9" s="39" customFormat="1" x14ac:dyDescent="0.25">
      <c r="A65" s="745"/>
      <c r="B65" s="748"/>
      <c r="C65" s="42"/>
      <c r="D65" s="165"/>
      <c r="E65" s="42"/>
      <c r="F65" s="343"/>
      <c r="G65" s="343"/>
      <c r="H65" s="343"/>
      <c r="I65" s="343"/>
    </row>
    <row r="66" spans="1:9" s="39" customFormat="1" x14ac:dyDescent="0.25">
      <c r="A66" s="42"/>
      <c r="B66" s="44"/>
      <c r="C66" s="42"/>
      <c r="D66" s="165" t="str">
        <f>'F4'!D95</f>
        <v>3. &lt;Nama Asesor 3&gt;</v>
      </c>
      <c r="E66" s="42"/>
    </row>
    <row r="67" spans="1:9" s="39" customFormat="1" x14ac:dyDescent="0.25">
      <c r="D67" s="165"/>
    </row>
    <row r="68" spans="1:9" s="39" customFormat="1" x14ac:dyDescent="0.25">
      <c r="D68" s="165"/>
    </row>
    <row r="69" spans="1:9" s="39" customFormat="1" x14ac:dyDescent="0.25">
      <c r="D69" s="165"/>
    </row>
    <row r="70" spans="1:9" s="39" customFormat="1" x14ac:dyDescent="0.25">
      <c r="D70" s="165"/>
    </row>
    <row r="71" spans="1:9" s="39" customFormat="1" x14ac:dyDescent="0.25">
      <c r="D71" s="165"/>
    </row>
    <row r="72" spans="1:9" s="39" customFormat="1" x14ac:dyDescent="0.25">
      <c r="D72" s="165"/>
    </row>
    <row r="73" spans="1:9" s="39" customFormat="1" x14ac:dyDescent="0.25">
      <c r="D73" s="165"/>
    </row>
    <row r="74" spans="1:9" s="39" customFormat="1" x14ac:dyDescent="0.25">
      <c r="D74" s="165"/>
    </row>
    <row r="75" spans="1:9" s="39" customFormat="1" x14ac:dyDescent="0.25"/>
    <row r="76" spans="1:9" s="39" customFormat="1" x14ac:dyDescent="0.25"/>
    <row r="77" spans="1:9" s="39" customFormat="1" x14ac:dyDescent="0.25"/>
    <row r="78" spans="1:9" s="39" customFormat="1" x14ac:dyDescent="0.25"/>
    <row r="79" spans="1:9" s="39" customFormat="1" x14ac:dyDescent="0.25"/>
    <row r="80" spans="1:9" s="39" customFormat="1" x14ac:dyDescent="0.25"/>
  </sheetData>
  <sheetProtection password="C5FE" sheet="1" objects="1" scenarios="1" formatCells="0" formatColumns="0" formatRows="0"/>
  <mergeCells count="7">
    <mergeCell ref="A65:B65"/>
    <mergeCell ref="A53:C53"/>
    <mergeCell ref="A6:E6"/>
    <mergeCell ref="A1:E1"/>
    <mergeCell ref="A3:E3"/>
    <mergeCell ref="A5:E5"/>
    <mergeCell ref="A55:E55"/>
  </mergeCells>
  <pageMargins left="0.70866141732283472" right="0.70866141732283472" top="0.74803149606299213" bottom="0.74803149606299213" header="0.31496062992125984" footer="0.31496062992125984"/>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9"/>
  <sheetViews>
    <sheetView topLeftCell="A16" workbookViewId="0">
      <selection activeCell="H4" sqref="H4:L4"/>
    </sheetView>
  </sheetViews>
  <sheetFormatPr defaultRowHeight="15" x14ac:dyDescent="0.25"/>
  <cols>
    <col min="1" max="1" width="5" style="39" customWidth="1"/>
    <col min="2" max="2" width="10.140625" style="39" customWidth="1"/>
    <col min="3" max="3" width="6.5703125" style="42" customWidth="1"/>
    <col min="4" max="5" width="7.140625" style="44" customWidth="1"/>
    <col min="6" max="6" width="8.28515625" style="42" customWidth="1"/>
    <col min="7" max="8" width="15" style="42" customWidth="1"/>
    <col min="9" max="9" width="35.5703125" style="39" customWidth="1"/>
    <col min="10" max="10" width="18.7109375" style="39" customWidth="1"/>
    <col min="11" max="11" width="9.140625" style="15"/>
    <col min="12" max="12" width="9.5703125" style="2" bestFit="1" customWidth="1"/>
    <col min="13" max="13" width="14.42578125" style="15" customWidth="1"/>
    <col min="14" max="14" width="11.5703125" style="15" customWidth="1"/>
    <col min="15" max="16384" width="9.140625" style="15"/>
  </cols>
  <sheetData>
    <row r="1" spans="1:17" s="39" customFormat="1" ht="32.25" customHeight="1" x14ac:dyDescent="0.25">
      <c r="A1" s="722" t="s">
        <v>978</v>
      </c>
      <c r="B1" s="722"/>
      <c r="C1" s="722"/>
      <c r="D1" s="722"/>
      <c r="E1" s="722"/>
      <c r="F1" s="722"/>
      <c r="G1" s="722"/>
      <c r="H1" s="722"/>
      <c r="I1" s="722"/>
      <c r="J1" s="722"/>
      <c r="L1" s="42"/>
    </row>
    <row r="2" spans="1:17" s="39" customFormat="1" ht="15.75" x14ac:dyDescent="0.25">
      <c r="A2" s="168"/>
      <c r="C2" s="42"/>
      <c r="D2" s="44"/>
      <c r="E2" s="44"/>
      <c r="F2" s="42"/>
      <c r="G2" s="42"/>
      <c r="H2" s="42"/>
      <c r="L2" s="42"/>
    </row>
    <row r="3" spans="1:17" s="39" customFormat="1" ht="15.75" customHeight="1" x14ac:dyDescent="0.25">
      <c r="A3" s="743" t="s">
        <v>35</v>
      </c>
      <c r="B3" s="743"/>
      <c r="C3" s="743"/>
      <c r="D3" s="743"/>
      <c r="E3" s="478" t="s">
        <v>232</v>
      </c>
      <c r="F3" s="42"/>
      <c r="G3" s="42"/>
      <c r="H3" s="42"/>
      <c r="L3" s="42"/>
    </row>
    <row r="4" spans="1:17" s="39" customFormat="1" ht="15.75" customHeight="1" x14ac:dyDescent="0.25">
      <c r="A4" s="743" t="s">
        <v>36</v>
      </c>
      <c r="B4" s="743"/>
      <c r="C4" s="743"/>
      <c r="D4" s="743"/>
      <c r="E4" s="478" t="s">
        <v>233</v>
      </c>
      <c r="F4" s="42"/>
      <c r="G4" s="42"/>
      <c r="H4" s="42"/>
      <c r="L4" s="42"/>
    </row>
    <row r="5" spans="1:17" s="39" customFormat="1" x14ac:dyDescent="0.25">
      <c r="A5" s="752" t="s">
        <v>37</v>
      </c>
      <c r="B5" s="752"/>
      <c r="C5" s="752"/>
      <c r="D5" s="752"/>
      <c r="E5" s="478" t="s">
        <v>234</v>
      </c>
      <c r="F5" s="42"/>
      <c r="G5" s="42"/>
      <c r="H5" s="42"/>
      <c r="L5" s="42"/>
    </row>
    <row r="6" spans="1:17" s="39" customFormat="1" x14ac:dyDescent="0.25">
      <c r="A6" s="752" t="s">
        <v>307</v>
      </c>
      <c r="B6" s="752"/>
      <c r="C6" s="752"/>
      <c r="D6" s="752"/>
      <c r="E6" s="478" t="s">
        <v>308</v>
      </c>
      <c r="F6" s="42"/>
      <c r="G6" s="42"/>
      <c r="H6" s="42"/>
      <c r="L6" s="42"/>
    </row>
    <row r="7" spans="1:17" s="39" customFormat="1" x14ac:dyDescent="0.25">
      <c r="A7" s="478" t="s">
        <v>244</v>
      </c>
      <c r="B7" s="478"/>
      <c r="C7" s="478"/>
      <c r="D7" s="169">
        <v>3</v>
      </c>
      <c r="E7" s="478" t="s">
        <v>247</v>
      </c>
      <c r="F7" s="42"/>
      <c r="G7" s="42"/>
      <c r="H7" s="42"/>
      <c r="L7" s="42"/>
    </row>
    <row r="8" spans="1:17" s="39" customFormat="1" x14ac:dyDescent="0.25">
      <c r="A8" s="478"/>
      <c r="B8" s="478"/>
      <c r="C8" s="478"/>
      <c r="D8" s="170"/>
      <c r="E8" s="478"/>
      <c r="F8" s="42"/>
      <c r="G8" s="42"/>
      <c r="H8" s="42"/>
      <c r="L8" s="42"/>
    </row>
    <row r="9" spans="1:17" s="39" customFormat="1" ht="35.25" customHeight="1" thickBot="1" x14ac:dyDescent="0.3">
      <c r="A9" s="743" t="s">
        <v>979</v>
      </c>
      <c r="B9" s="743"/>
      <c r="C9" s="743"/>
      <c r="D9" s="743"/>
      <c r="E9" s="743"/>
      <c r="F9" s="743"/>
      <c r="G9" s="743"/>
      <c r="H9" s="743"/>
      <c r="I9" s="743"/>
      <c r="J9" s="743"/>
      <c r="K9" s="473"/>
      <c r="L9" s="473"/>
      <c r="M9" s="473"/>
      <c r="N9" s="473"/>
      <c r="O9" s="473"/>
      <c r="P9" s="473"/>
      <c r="Q9" s="473"/>
    </row>
    <row r="10" spans="1:17" s="30" customFormat="1" ht="24.75" customHeight="1" x14ac:dyDescent="0.25">
      <c r="A10" s="756" t="s">
        <v>1</v>
      </c>
      <c r="B10" s="759" t="s">
        <v>93</v>
      </c>
      <c r="C10" s="759" t="s">
        <v>39</v>
      </c>
      <c r="D10" s="759"/>
      <c r="E10" s="759"/>
      <c r="F10" s="759"/>
      <c r="G10" s="475"/>
      <c r="H10" s="475"/>
      <c r="I10" s="759" t="s">
        <v>94</v>
      </c>
      <c r="J10" s="763" t="s">
        <v>95</v>
      </c>
      <c r="L10" s="766" t="s">
        <v>977</v>
      </c>
      <c r="M10" s="767"/>
      <c r="N10" s="753" t="s">
        <v>112</v>
      </c>
    </row>
    <row r="11" spans="1:17" s="30" customFormat="1" ht="30.75" hidden="1" customHeight="1" thickBot="1" x14ac:dyDescent="0.3">
      <c r="A11" s="757"/>
      <c r="B11" s="760"/>
      <c r="C11" s="428" t="s">
        <v>40</v>
      </c>
      <c r="D11" s="476" t="s">
        <v>41</v>
      </c>
      <c r="E11" s="476"/>
      <c r="F11" s="428" t="s">
        <v>42</v>
      </c>
      <c r="G11" s="428"/>
      <c r="H11" s="428"/>
      <c r="I11" s="760"/>
      <c r="J11" s="764"/>
      <c r="L11" s="429"/>
      <c r="M11" s="430"/>
      <c r="N11" s="754"/>
    </row>
    <row r="12" spans="1:17" s="30" customFormat="1" ht="30.75" thickBot="1" x14ac:dyDescent="0.3">
      <c r="A12" s="758"/>
      <c r="B12" s="761"/>
      <c r="C12" s="477" t="s">
        <v>40</v>
      </c>
      <c r="D12" s="477" t="s">
        <v>41</v>
      </c>
      <c r="E12" s="477" t="s">
        <v>245</v>
      </c>
      <c r="F12" s="477" t="s">
        <v>216</v>
      </c>
      <c r="G12" s="477" t="s">
        <v>1090</v>
      </c>
      <c r="H12" s="485" t="s">
        <v>1091</v>
      </c>
      <c r="I12" s="762"/>
      <c r="J12" s="765"/>
      <c r="K12" s="486"/>
      <c r="L12" s="487" t="s">
        <v>5</v>
      </c>
      <c r="M12" s="488" t="s">
        <v>110</v>
      </c>
      <c r="N12" s="755"/>
      <c r="O12" s="486"/>
    </row>
    <row r="13" spans="1:17" s="30" customFormat="1" x14ac:dyDescent="0.25">
      <c r="A13" s="126">
        <v>1</v>
      </c>
      <c r="B13" s="183" t="s">
        <v>64</v>
      </c>
      <c r="C13" s="163">
        <v>4</v>
      </c>
      <c r="D13" s="163">
        <v>4</v>
      </c>
      <c r="E13" s="163">
        <v>4</v>
      </c>
      <c r="F13" s="431">
        <f>SUM(C13:E13)/$D$7</f>
        <v>4</v>
      </c>
      <c r="G13" s="431">
        <f>F10_form_validator!H7</f>
        <v>3</v>
      </c>
      <c r="H13" s="489">
        <f>F10_form_validator!J7</f>
        <v>3.5</v>
      </c>
      <c r="I13" s="490">
        <v>0</v>
      </c>
      <c r="J13" s="491"/>
      <c r="K13" s="486"/>
      <c r="L13" s="492">
        <v>0.77519379844961245</v>
      </c>
      <c r="M13" s="493">
        <f>F13*L13</f>
        <v>3.1007751937984498</v>
      </c>
      <c r="N13" s="494">
        <v>4</v>
      </c>
      <c r="O13" s="486"/>
    </row>
    <row r="14" spans="1:17" s="30" customFormat="1" x14ac:dyDescent="0.25">
      <c r="A14" s="126">
        <v>2</v>
      </c>
      <c r="B14" s="183" t="s">
        <v>65</v>
      </c>
      <c r="C14" s="163">
        <v>4</v>
      </c>
      <c r="D14" s="163">
        <v>4</v>
      </c>
      <c r="E14" s="163">
        <v>4</v>
      </c>
      <c r="F14" s="431">
        <f t="shared" ref="F14:F77" si="0">SUM(C14:E14)/$D$7</f>
        <v>4</v>
      </c>
      <c r="G14" s="431">
        <f>F10_form_validator!H8</f>
        <v>3</v>
      </c>
      <c r="H14" s="489">
        <f>F10_form_validator!J8</f>
        <v>3.5</v>
      </c>
      <c r="I14" s="490">
        <v>0</v>
      </c>
      <c r="J14" s="495"/>
      <c r="K14" s="486"/>
      <c r="L14" s="496">
        <v>0.77519379844961245</v>
      </c>
      <c r="M14" s="497">
        <f t="shared" ref="M14:M77" si="1">F14*L14</f>
        <v>3.1007751937984498</v>
      </c>
      <c r="N14" s="498">
        <v>4</v>
      </c>
      <c r="O14" s="486"/>
    </row>
    <row r="15" spans="1:17" s="30" customFormat="1" x14ac:dyDescent="0.25">
      <c r="A15" s="126">
        <v>3</v>
      </c>
      <c r="B15" s="183">
        <v>1.2</v>
      </c>
      <c r="C15" s="163">
        <v>4</v>
      </c>
      <c r="D15" s="163">
        <v>4</v>
      </c>
      <c r="E15" s="163">
        <v>4</v>
      </c>
      <c r="F15" s="431">
        <f t="shared" si="0"/>
        <v>4</v>
      </c>
      <c r="G15" s="431">
        <f>F10_form_validator!H9</f>
        <v>3</v>
      </c>
      <c r="H15" s="489">
        <f>F10_form_validator!J9</f>
        <v>3.5</v>
      </c>
      <c r="I15" s="490">
        <v>0</v>
      </c>
      <c r="J15" s="495"/>
      <c r="K15" s="486"/>
      <c r="L15" s="496">
        <v>0.77519379844961245</v>
      </c>
      <c r="M15" s="497">
        <f t="shared" si="1"/>
        <v>3.1007751937984498</v>
      </c>
      <c r="N15" s="498">
        <v>4</v>
      </c>
      <c r="O15" s="486"/>
    </row>
    <row r="16" spans="1:17" s="30" customFormat="1" x14ac:dyDescent="0.25">
      <c r="A16" s="126">
        <v>4</v>
      </c>
      <c r="B16" s="183">
        <v>2.1</v>
      </c>
      <c r="C16" s="163">
        <v>4</v>
      </c>
      <c r="D16" s="163">
        <v>4</v>
      </c>
      <c r="E16" s="163">
        <v>4</v>
      </c>
      <c r="F16" s="431">
        <f t="shared" si="0"/>
        <v>4</v>
      </c>
      <c r="G16" s="431">
        <f>F10_form_validator!H10</f>
        <v>3</v>
      </c>
      <c r="H16" s="489">
        <f>F10_form_validator!J10</f>
        <v>3.5</v>
      </c>
      <c r="I16" s="490">
        <v>0</v>
      </c>
      <c r="J16" s="495"/>
      <c r="K16" s="486"/>
      <c r="L16" s="496">
        <v>0.77519379844961245</v>
      </c>
      <c r="M16" s="497">
        <f t="shared" si="1"/>
        <v>3.1007751937984498</v>
      </c>
      <c r="N16" s="498">
        <v>4</v>
      </c>
      <c r="O16" s="486"/>
    </row>
    <row r="17" spans="1:15" s="30" customFormat="1" x14ac:dyDescent="0.25">
      <c r="A17" s="126">
        <v>5</v>
      </c>
      <c r="B17" s="183" t="s">
        <v>322</v>
      </c>
      <c r="C17" s="163">
        <v>4</v>
      </c>
      <c r="D17" s="163">
        <v>4</v>
      </c>
      <c r="E17" s="163">
        <v>4</v>
      </c>
      <c r="F17" s="431">
        <f t="shared" si="0"/>
        <v>4</v>
      </c>
      <c r="G17" s="431">
        <f>F10_form_validator!H11</f>
        <v>3</v>
      </c>
      <c r="H17" s="489">
        <f>F10_form_validator!J11</f>
        <v>3.5</v>
      </c>
      <c r="I17" s="490">
        <v>0</v>
      </c>
      <c r="J17" s="495"/>
      <c r="K17" s="486"/>
      <c r="L17" s="496">
        <v>0.77519379844961245</v>
      </c>
      <c r="M17" s="497">
        <f t="shared" si="1"/>
        <v>3.1007751937984498</v>
      </c>
      <c r="N17" s="498">
        <v>4</v>
      </c>
      <c r="O17" s="486"/>
    </row>
    <row r="18" spans="1:15" s="30" customFormat="1" x14ac:dyDescent="0.25">
      <c r="A18" s="126">
        <v>6</v>
      </c>
      <c r="B18" s="183" t="s">
        <v>326</v>
      </c>
      <c r="C18" s="163">
        <v>4</v>
      </c>
      <c r="D18" s="163">
        <v>4</v>
      </c>
      <c r="E18" s="163">
        <v>4</v>
      </c>
      <c r="F18" s="431">
        <f t="shared" si="0"/>
        <v>4</v>
      </c>
      <c r="G18" s="431">
        <f>F10_form_validator!H12</f>
        <v>3</v>
      </c>
      <c r="H18" s="489">
        <f>F10_form_validator!J12</f>
        <v>3.5</v>
      </c>
      <c r="I18" s="490">
        <v>0</v>
      </c>
      <c r="J18" s="495"/>
      <c r="K18" s="486"/>
      <c r="L18" s="496">
        <v>0.38759689922480622</v>
      </c>
      <c r="M18" s="497">
        <f t="shared" si="1"/>
        <v>1.5503875968992249</v>
      </c>
      <c r="N18" s="498">
        <v>4</v>
      </c>
      <c r="O18" s="486"/>
    </row>
    <row r="19" spans="1:15" s="30" customFormat="1" ht="15.75" x14ac:dyDescent="0.25">
      <c r="A19" s="126">
        <v>7</v>
      </c>
      <c r="B19" s="183" t="s">
        <v>331</v>
      </c>
      <c r="C19" s="163">
        <v>4</v>
      </c>
      <c r="D19" s="163">
        <v>4</v>
      </c>
      <c r="E19" s="163">
        <v>4</v>
      </c>
      <c r="F19" s="431">
        <f t="shared" si="0"/>
        <v>4</v>
      </c>
      <c r="G19" s="431">
        <f>F10_form_validator!H13</f>
        <v>3</v>
      </c>
      <c r="H19" s="431">
        <f>F10_form_validator!J13</f>
        <v>3.5</v>
      </c>
      <c r="I19" s="499">
        <v>0</v>
      </c>
      <c r="J19" s="171"/>
      <c r="L19" s="433">
        <v>0.38759689922480622</v>
      </c>
      <c r="M19" s="434">
        <f t="shared" si="1"/>
        <v>1.5503875968992249</v>
      </c>
      <c r="N19" s="435">
        <v>4</v>
      </c>
    </row>
    <row r="20" spans="1:15" s="30" customFormat="1" ht="15.75" x14ac:dyDescent="0.25">
      <c r="A20" s="126">
        <v>8</v>
      </c>
      <c r="B20" s="183">
        <v>2.2999999999999998</v>
      </c>
      <c r="C20" s="163">
        <v>4</v>
      </c>
      <c r="D20" s="163">
        <v>4</v>
      </c>
      <c r="E20" s="163">
        <v>4</v>
      </c>
      <c r="F20" s="431">
        <f t="shared" si="0"/>
        <v>4</v>
      </c>
      <c r="G20" s="431">
        <f>F10_form_validator!H14</f>
        <v>3</v>
      </c>
      <c r="H20" s="431">
        <f>F10_form_validator!J14</f>
        <v>3.5</v>
      </c>
      <c r="I20" s="499">
        <v>0</v>
      </c>
      <c r="J20" s="171"/>
      <c r="L20" s="433">
        <v>0.77519379844961245</v>
      </c>
      <c r="M20" s="434">
        <f t="shared" si="1"/>
        <v>3.1007751937984498</v>
      </c>
      <c r="N20" s="435">
        <v>4</v>
      </c>
    </row>
    <row r="21" spans="1:15" s="30" customFormat="1" ht="15.75" x14ac:dyDescent="0.25">
      <c r="A21" s="126">
        <v>9</v>
      </c>
      <c r="B21" s="183">
        <v>2.4</v>
      </c>
      <c r="C21" s="163">
        <v>4</v>
      </c>
      <c r="D21" s="163">
        <v>4</v>
      </c>
      <c r="E21" s="163">
        <v>4</v>
      </c>
      <c r="F21" s="431">
        <f t="shared" si="0"/>
        <v>4</v>
      </c>
      <c r="G21" s="431">
        <f>F10_form_validator!H15</f>
        <v>3</v>
      </c>
      <c r="H21" s="431">
        <f>F10_form_validator!J15</f>
        <v>3.5</v>
      </c>
      <c r="I21" s="499">
        <v>0</v>
      </c>
      <c r="J21" s="171"/>
      <c r="L21" s="433">
        <v>0.77519379844961245</v>
      </c>
      <c r="M21" s="434">
        <f t="shared" si="1"/>
        <v>3.1007751937984498</v>
      </c>
      <c r="N21" s="435">
        <v>4</v>
      </c>
    </row>
    <row r="22" spans="1:15" s="30" customFormat="1" x14ac:dyDescent="0.25">
      <c r="A22" s="126">
        <v>10</v>
      </c>
      <c r="B22" s="183">
        <v>2.5</v>
      </c>
      <c r="C22" s="163">
        <v>4</v>
      </c>
      <c r="D22" s="163">
        <v>4</v>
      </c>
      <c r="E22" s="163">
        <v>4</v>
      </c>
      <c r="F22" s="431">
        <f t="shared" si="0"/>
        <v>4</v>
      </c>
      <c r="G22" s="431">
        <f>F10_form_validator!H16</f>
        <v>3</v>
      </c>
      <c r="H22" s="500">
        <f>F10_form_validator!J16</f>
        <v>3.5</v>
      </c>
      <c r="I22" s="501">
        <v>0</v>
      </c>
      <c r="J22" s="502"/>
      <c r="K22" s="503"/>
      <c r="L22" s="504">
        <v>0.38759689922480622</v>
      </c>
      <c r="M22" s="505">
        <f t="shared" si="1"/>
        <v>1.5503875968992249</v>
      </c>
      <c r="N22" s="506">
        <v>4</v>
      </c>
      <c r="O22" s="503"/>
    </row>
    <row r="23" spans="1:15" s="30" customFormat="1" x14ac:dyDescent="0.25">
      <c r="A23" s="126">
        <v>11</v>
      </c>
      <c r="B23" s="183">
        <v>2.6</v>
      </c>
      <c r="C23" s="163">
        <v>4</v>
      </c>
      <c r="D23" s="163">
        <v>4</v>
      </c>
      <c r="E23" s="163">
        <v>4</v>
      </c>
      <c r="F23" s="431">
        <f t="shared" si="0"/>
        <v>4</v>
      </c>
      <c r="G23" s="431">
        <f>F10_form_validator!H17</f>
        <v>3</v>
      </c>
      <c r="H23" s="500">
        <f>F10_form_validator!J17</f>
        <v>3.5</v>
      </c>
      <c r="I23" s="501">
        <v>0</v>
      </c>
      <c r="J23" s="502"/>
      <c r="K23" s="503"/>
      <c r="L23" s="504">
        <v>0.38759689922480622</v>
      </c>
      <c r="M23" s="505">
        <f t="shared" si="1"/>
        <v>1.5503875968992249</v>
      </c>
      <c r="N23" s="506">
        <v>4</v>
      </c>
      <c r="O23" s="503"/>
    </row>
    <row r="24" spans="1:15" s="30" customFormat="1" x14ac:dyDescent="0.25">
      <c r="A24" s="126">
        <v>12</v>
      </c>
      <c r="B24" s="183">
        <v>3.1</v>
      </c>
      <c r="C24" s="163">
        <v>4</v>
      </c>
      <c r="D24" s="163">
        <v>4</v>
      </c>
      <c r="E24" s="163">
        <v>4</v>
      </c>
      <c r="F24" s="431">
        <f t="shared" si="0"/>
        <v>4</v>
      </c>
      <c r="G24" s="431">
        <f>F10_form_validator!H18</f>
        <v>3</v>
      </c>
      <c r="H24" s="500">
        <f>F10_form_validator!J18</f>
        <v>3.5</v>
      </c>
      <c r="I24" s="501">
        <v>0</v>
      </c>
      <c r="J24" s="502"/>
      <c r="K24" s="503"/>
      <c r="L24" s="504">
        <v>1.2133468149646107</v>
      </c>
      <c r="M24" s="505">
        <f t="shared" si="1"/>
        <v>4.8533872598584429</v>
      </c>
      <c r="N24" s="506">
        <v>4</v>
      </c>
      <c r="O24" s="503"/>
    </row>
    <row r="25" spans="1:15" s="30" customFormat="1" x14ac:dyDescent="0.25">
      <c r="A25" s="126">
        <v>13</v>
      </c>
      <c r="B25" s="183" t="s">
        <v>149</v>
      </c>
      <c r="C25" s="163">
        <v>4</v>
      </c>
      <c r="D25" s="163">
        <v>4</v>
      </c>
      <c r="E25" s="163">
        <v>4</v>
      </c>
      <c r="F25" s="431">
        <f t="shared" si="0"/>
        <v>4</v>
      </c>
      <c r="G25" s="431">
        <f>F10_form_validator!H19</f>
        <v>3</v>
      </c>
      <c r="H25" s="500">
        <f>F10_form_validator!J19</f>
        <v>3.5</v>
      </c>
      <c r="I25" s="501">
        <v>0</v>
      </c>
      <c r="J25" s="502"/>
      <c r="K25" s="503"/>
      <c r="L25" s="504">
        <v>1.2133468149646107</v>
      </c>
      <c r="M25" s="505">
        <f t="shared" si="1"/>
        <v>4.8533872598584429</v>
      </c>
      <c r="N25" s="506">
        <v>4</v>
      </c>
      <c r="O25" s="503"/>
    </row>
    <row r="26" spans="1:15" s="30" customFormat="1" x14ac:dyDescent="0.25">
      <c r="A26" s="126">
        <v>14</v>
      </c>
      <c r="B26" s="183" t="s">
        <v>150</v>
      </c>
      <c r="C26" s="163">
        <v>4</v>
      </c>
      <c r="D26" s="163">
        <v>4</v>
      </c>
      <c r="E26" s="163">
        <v>4</v>
      </c>
      <c r="F26" s="431">
        <f t="shared" si="0"/>
        <v>4</v>
      </c>
      <c r="G26" s="431">
        <f>F10_form_validator!H20</f>
        <v>3</v>
      </c>
      <c r="H26" s="500">
        <f>F10_form_validator!J20</f>
        <v>3.5</v>
      </c>
      <c r="I26" s="501">
        <v>0</v>
      </c>
      <c r="J26" s="502"/>
      <c r="K26" s="503"/>
      <c r="L26" s="504">
        <v>2.4266936299292214</v>
      </c>
      <c r="M26" s="505">
        <f t="shared" si="1"/>
        <v>9.7067745197168858</v>
      </c>
      <c r="N26" s="506">
        <v>4</v>
      </c>
      <c r="O26" s="503"/>
    </row>
    <row r="27" spans="1:15" s="30" customFormat="1" x14ac:dyDescent="0.25">
      <c r="A27" s="126">
        <v>15</v>
      </c>
      <c r="B27" s="183" t="s">
        <v>366</v>
      </c>
      <c r="C27" s="163">
        <v>4</v>
      </c>
      <c r="D27" s="163">
        <v>4</v>
      </c>
      <c r="E27" s="163">
        <v>4</v>
      </c>
      <c r="F27" s="431">
        <f t="shared" si="0"/>
        <v>4</v>
      </c>
      <c r="G27" s="431">
        <f>F10_form_validator!H21</f>
        <v>3</v>
      </c>
      <c r="H27" s="500">
        <f>F10_form_validator!J21</f>
        <v>3.5</v>
      </c>
      <c r="I27" s="501">
        <v>0</v>
      </c>
      <c r="J27" s="502"/>
      <c r="K27" s="503"/>
      <c r="L27" s="504">
        <v>1.2133468149646107</v>
      </c>
      <c r="M27" s="505">
        <f t="shared" si="1"/>
        <v>4.8533872598584429</v>
      </c>
      <c r="N27" s="506">
        <v>4</v>
      </c>
      <c r="O27" s="503"/>
    </row>
    <row r="28" spans="1:15" s="30" customFormat="1" x14ac:dyDescent="0.25">
      <c r="A28" s="126">
        <v>16</v>
      </c>
      <c r="B28" s="183" t="s">
        <v>151</v>
      </c>
      <c r="C28" s="163">
        <v>4</v>
      </c>
      <c r="D28" s="163">
        <v>4</v>
      </c>
      <c r="E28" s="163">
        <v>4</v>
      </c>
      <c r="F28" s="431">
        <f t="shared" si="0"/>
        <v>4</v>
      </c>
      <c r="G28" s="431">
        <f>F10_form_validator!H22</f>
        <v>3</v>
      </c>
      <c r="H28" s="500">
        <f>F10_form_validator!J22</f>
        <v>3.5</v>
      </c>
      <c r="I28" s="501">
        <v>0</v>
      </c>
      <c r="J28" s="502"/>
      <c r="K28" s="503"/>
      <c r="L28" s="504">
        <v>0.60667340748230536</v>
      </c>
      <c r="M28" s="505">
        <f t="shared" si="1"/>
        <v>2.4266936299292214</v>
      </c>
      <c r="N28" s="506">
        <v>4</v>
      </c>
      <c r="O28" s="503"/>
    </row>
    <row r="29" spans="1:15" s="30" customFormat="1" ht="15.75" x14ac:dyDescent="0.25">
      <c r="A29" s="126">
        <v>17</v>
      </c>
      <c r="B29" s="183" t="s">
        <v>152</v>
      </c>
      <c r="C29" s="163">
        <v>4</v>
      </c>
      <c r="D29" s="163">
        <v>4</v>
      </c>
      <c r="E29" s="163">
        <v>4</v>
      </c>
      <c r="F29" s="431">
        <f t="shared" si="0"/>
        <v>4</v>
      </c>
      <c r="G29" s="431">
        <f>F10_form_validator!H23</f>
        <v>3</v>
      </c>
      <c r="H29" s="431">
        <f>F10_form_validator!J23</f>
        <v>3.5</v>
      </c>
      <c r="I29" s="499">
        <v>0</v>
      </c>
      <c r="J29" s="171"/>
      <c r="L29" s="433">
        <v>2.4266936299292214</v>
      </c>
      <c r="M29" s="434">
        <f t="shared" si="1"/>
        <v>9.7067745197168858</v>
      </c>
      <c r="N29" s="435">
        <v>4</v>
      </c>
    </row>
    <row r="30" spans="1:15" s="30" customFormat="1" ht="15.75" x14ac:dyDescent="0.25">
      <c r="A30" s="126">
        <v>18</v>
      </c>
      <c r="B30" s="183" t="s">
        <v>386</v>
      </c>
      <c r="C30" s="163">
        <v>4</v>
      </c>
      <c r="D30" s="163">
        <v>4</v>
      </c>
      <c r="E30" s="163">
        <v>4</v>
      </c>
      <c r="F30" s="431">
        <f t="shared" si="0"/>
        <v>4</v>
      </c>
      <c r="G30" s="431">
        <f>F10_form_validator!H24</f>
        <v>3</v>
      </c>
      <c r="H30" s="431">
        <f>F10_form_validator!J24</f>
        <v>3.5</v>
      </c>
      <c r="I30" s="499">
        <v>0</v>
      </c>
      <c r="J30" s="171"/>
      <c r="L30" s="433">
        <v>3.6400404448938319</v>
      </c>
      <c r="M30" s="434">
        <f t="shared" si="1"/>
        <v>14.560161779575328</v>
      </c>
      <c r="N30" s="435">
        <v>4</v>
      </c>
    </row>
    <row r="31" spans="1:15" s="30" customFormat="1" ht="15.75" x14ac:dyDescent="0.25">
      <c r="A31" s="126">
        <v>19</v>
      </c>
      <c r="B31" s="183">
        <v>3.3</v>
      </c>
      <c r="C31" s="163">
        <v>4</v>
      </c>
      <c r="D31" s="163">
        <v>4</v>
      </c>
      <c r="E31" s="163">
        <v>4</v>
      </c>
      <c r="F31" s="431">
        <f t="shared" si="0"/>
        <v>4</v>
      </c>
      <c r="G31" s="431">
        <f>F10_form_validator!H25</f>
        <v>3</v>
      </c>
      <c r="H31" s="431">
        <f>F10_form_validator!J25</f>
        <v>3.5</v>
      </c>
      <c r="I31" s="499">
        <v>0</v>
      </c>
      <c r="J31" s="171"/>
      <c r="L31" s="433">
        <v>0.60667340748230536</v>
      </c>
      <c r="M31" s="434">
        <f t="shared" si="1"/>
        <v>2.4266936299292214</v>
      </c>
      <c r="N31" s="435">
        <v>4</v>
      </c>
    </row>
    <row r="32" spans="1:15" s="30" customFormat="1" x14ac:dyDescent="0.25">
      <c r="A32" s="126">
        <v>20</v>
      </c>
      <c r="B32" s="183">
        <v>3.4</v>
      </c>
      <c r="C32" s="163">
        <v>4</v>
      </c>
      <c r="D32" s="163">
        <v>4</v>
      </c>
      <c r="E32" s="163">
        <v>4</v>
      </c>
      <c r="F32" s="431">
        <f t="shared" si="0"/>
        <v>4</v>
      </c>
      <c r="G32" s="431">
        <f>F10_form_validator!H26</f>
        <v>3</v>
      </c>
      <c r="H32" s="507">
        <f>F10_form_validator!J26</f>
        <v>3.5</v>
      </c>
      <c r="I32" s="508">
        <v>0</v>
      </c>
      <c r="J32" s="509"/>
      <c r="K32" s="510"/>
      <c r="L32" s="511">
        <v>0.60667340748230536</v>
      </c>
      <c r="M32" s="512">
        <f t="shared" si="1"/>
        <v>2.4266936299292214</v>
      </c>
      <c r="N32" s="513">
        <v>4</v>
      </c>
      <c r="O32" s="510"/>
    </row>
    <row r="33" spans="1:15" s="30" customFormat="1" x14ac:dyDescent="0.25">
      <c r="A33" s="126">
        <v>21</v>
      </c>
      <c r="B33" s="183">
        <v>4.0999999999999996</v>
      </c>
      <c r="C33" s="163">
        <v>4</v>
      </c>
      <c r="D33" s="163">
        <v>4</v>
      </c>
      <c r="E33" s="163">
        <v>4</v>
      </c>
      <c r="F33" s="431">
        <f t="shared" si="0"/>
        <v>4</v>
      </c>
      <c r="G33" s="431">
        <f>F10_form_validator!H27</f>
        <v>3</v>
      </c>
      <c r="H33" s="507">
        <f>F10_form_validator!J27</f>
        <v>3.5</v>
      </c>
      <c r="I33" s="508">
        <v>0</v>
      </c>
      <c r="J33" s="509"/>
      <c r="K33" s="510"/>
      <c r="L33" s="511">
        <v>1.1627906976744187</v>
      </c>
      <c r="M33" s="512">
        <f t="shared" si="1"/>
        <v>4.6511627906976747</v>
      </c>
      <c r="N33" s="513">
        <v>4</v>
      </c>
      <c r="O33" s="510"/>
    </row>
    <row r="34" spans="1:15" s="30" customFormat="1" x14ac:dyDescent="0.25">
      <c r="A34" s="126">
        <v>22</v>
      </c>
      <c r="B34" s="183">
        <v>4.2</v>
      </c>
      <c r="C34" s="163">
        <v>4</v>
      </c>
      <c r="D34" s="163">
        <v>4</v>
      </c>
      <c r="E34" s="163">
        <v>4</v>
      </c>
      <c r="F34" s="431">
        <f t="shared" si="0"/>
        <v>4</v>
      </c>
      <c r="G34" s="431">
        <f>F10_form_validator!H28</f>
        <v>3</v>
      </c>
      <c r="H34" s="507">
        <f>F10_form_validator!J28</f>
        <v>3.5</v>
      </c>
      <c r="I34" s="508">
        <v>0</v>
      </c>
      <c r="J34" s="509"/>
      <c r="K34" s="510"/>
      <c r="L34" s="511">
        <v>1.1627906976744187</v>
      </c>
      <c r="M34" s="512">
        <f t="shared" si="1"/>
        <v>4.6511627906976747</v>
      </c>
      <c r="N34" s="513">
        <v>4</v>
      </c>
      <c r="O34" s="510"/>
    </row>
    <row r="35" spans="1:15" s="30" customFormat="1" x14ac:dyDescent="0.25">
      <c r="A35" s="126">
        <v>23</v>
      </c>
      <c r="B35" s="183" t="s">
        <v>405</v>
      </c>
      <c r="C35" s="163">
        <v>4</v>
      </c>
      <c r="D35" s="163">
        <v>4</v>
      </c>
      <c r="E35" s="163">
        <v>4</v>
      </c>
      <c r="F35" s="431">
        <f t="shared" si="0"/>
        <v>4</v>
      </c>
      <c r="G35" s="431">
        <f>F10_form_validator!H29</f>
        <v>3</v>
      </c>
      <c r="H35" s="507">
        <f>F10_form_validator!J29</f>
        <v>3.5</v>
      </c>
      <c r="I35" s="508">
        <v>0</v>
      </c>
      <c r="J35" s="509"/>
      <c r="K35" s="510"/>
      <c r="L35" s="511">
        <v>3.4883720930232553</v>
      </c>
      <c r="M35" s="512">
        <f t="shared" si="1"/>
        <v>13.953488372093021</v>
      </c>
      <c r="N35" s="513">
        <v>4</v>
      </c>
      <c r="O35" s="510"/>
    </row>
    <row r="36" spans="1:15" s="30" customFormat="1" x14ac:dyDescent="0.25">
      <c r="A36" s="126">
        <v>24</v>
      </c>
      <c r="B36" s="183" t="s">
        <v>419</v>
      </c>
      <c r="C36" s="163">
        <v>4</v>
      </c>
      <c r="D36" s="163">
        <v>4</v>
      </c>
      <c r="E36" s="163">
        <v>4</v>
      </c>
      <c r="F36" s="431">
        <f t="shared" si="0"/>
        <v>4</v>
      </c>
      <c r="G36" s="431">
        <f>F10_form_validator!H30</f>
        <v>3</v>
      </c>
      <c r="H36" s="507">
        <f>F10_form_validator!J30</f>
        <v>3.5</v>
      </c>
      <c r="I36" s="508">
        <v>0</v>
      </c>
      <c r="J36" s="509"/>
      <c r="K36" s="510"/>
      <c r="L36" s="511">
        <v>2.3255813953488373</v>
      </c>
      <c r="M36" s="512">
        <f t="shared" si="1"/>
        <v>9.3023255813953494</v>
      </c>
      <c r="N36" s="513">
        <v>4</v>
      </c>
      <c r="O36" s="510"/>
    </row>
    <row r="37" spans="1:15" s="30" customFormat="1" x14ac:dyDescent="0.25">
      <c r="A37" s="126">
        <v>25</v>
      </c>
      <c r="B37" s="183" t="s">
        <v>680</v>
      </c>
      <c r="C37" s="163">
        <v>4</v>
      </c>
      <c r="D37" s="163">
        <v>4</v>
      </c>
      <c r="E37" s="163">
        <v>4</v>
      </c>
      <c r="F37" s="431">
        <f t="shared" si="0"/>
        <v>4</v>
      </c>
      <c r="G37" s="431">
        <f>F10_form_validator!H31</f>
        <v>3</v>
      </c>
      <c r="H37" s="507">
        <f>F10_form_validator!J31</f>
        <v>3.5</v>
      </c>
      <c r="I37" s="508">
        <v>0</v>
      </c>
      <c r="J37" s="509"/>
      <c r="K37" s="510"/>
      <c r="L37" s="511">
        <v>1.1627906976744187</v>
      </c>
      <c r="M37" s="512">
        <f t="shared" si="1"/>
        <v>4.6511627906976747</v>
      </c>
      <c r="N37" s="513">
        <v>4</v>
      </c>
      <c r="O37" s="510"/>
    </row>
    <row r="38" spans="1:15" s="30" customFormat="1" x14ac:dyDescent="0.25">
      <c r="A38" s="126">
        <v>26</v>
      </c>
      <c r="B38" s="183" t="s">
        <v>427</v>
      </c>
      <c r="C38" s="163">
        <v>4</v>
      </c>
      <c r="D38" s="163">
        <v>4</v>
      </c>
      <c r="E38" s="163">
        <v>4</v>
      </c>
      <c r="F38" s="431">
        <f t="shared" si="0"/>
        <v>4</v>
      </c>
      <c r="G38" s="431">
        <f>F10_form_validator!H32</f>
        <v>3</v>
      </c>
      <c r="H38" s="507">
        <f>F10_form_validator!J32</f>
        <v>3.5</v>
      </c>
      <c r="I38" s="508">
        <v>0</v>
      </c>
      <c r="J38" s="509"/>
      <c r="K38" s="510"/>
      <c r="L38" s="511">
        <v>3.4883720930232553</v>
      </c>
      <c r="M38" s="512">
        <f t="shared" si="1"/>
        <v>13.953488372093021</v>
      </c>
      <c r="N38" s="513">
        <v>4</v>
      </c>
      <c r="O38" s="510"/>
    </row>
    <row r="39" spans="1:15" s="30" customFormat="1" ht="15.75" x14ac:dyDescent="0.25">
      <c r="A39" s="126">
        <v>27</v>
      </c>
      <c r="B39" s="183" t="s">
        <v>432</v>
      </c>
      <c r="C39" s="163">
        <v>4</v>
      </c>
      <c r="D39" s="163">
        <v>4</v>
      </c>
      <c r="E39" s="163">
        <v>4</v>
      </c>
      <c r="F39" s="431">
        <f t="shared" si="0"/>
        <v>4</v>
      </c>
      <c r="G39" s="431">
        <f>F10_form_validator!H33</f>
        <v>3</v>
      </c>
      <c r="H39" s="431">
        <f>F10_form_validator!J33</f>
        <v>3.5</v>
      </c>
      <c r="I39" s="499">
        <v>0</v>
      </c>
      <c r="J39" s="171"/>
      <c r="L39" s="433">
        <v>2.3255813953488373</v>
      </c>
      <c r="M39" s="434">
        <f t="shared" si="1"/>
        <v>9.3023255813953494</v>
      </c>
      <c r="N39" s="435">
        <v>4</v>
      </c>
    </row>
    <row r="40" spans="1:15" s="30" customFormat="1" ht="15.75" x14ac:dyDescent="0.25">
      <c r="A40" s="126">
        <v>28</v>
      </c>
      <c r="B40" s="183" t="s">
        <v>11</v>
      </c>
      <c r="C40" s="163">
        <v>4</v>
      </c>
      <c r="D40" s="163">
        <v>4</v>
      </c>
      <c r="E40" s="163">
        <v>4</v>
      </c>
      <c r="F40" s="431">
        <f t="shared" si="0"/>
        <v>4</v>
      </c>
      <c r="G40" s="431">
        <f>F10_form_validator!H34</f>
        <v>3</v>
      </c>
      <c r="H40" s="431">
        <f>F10_form_validator!J34</f>
        <v>3.5</v>
      </c>
      <c r="I40" s="499">
        <v>0</v>
      </c>
      <c r="J40" s="171"/>
      <c r="L40" s="433">
        <v>1.1627906976744187</v>
      </c>
      <c r="M40" s="434">
        <f t="shared" si="1"/>
        <v>4.6511627906976747</v>
      </c>
      <c r="N40" s="435">
        <v>4</v>
      </c>
    </row>
    <row r="41" spans="1:15" s="30" customFormat="1" ht="15.75" x14ac:dyDescent="0.25">
      <c r="A41" s="126">
        <v>29</v>
      </c>
      <c r="B41" s="183" t="s">
        <v>705</v>
      </c>
      <c r="C41" s="163">
        <v>4</v>
      </c>
      <c r="D41" s="163">
        <v>4</v>
      </c>
      <c r="E41" s="163">
        <v>4</v>
      </c>
      <c r="F41" s="431">
        <f t="shared" si="0"/>
        <v>4</v>
      </c>
      <c r="G41" s="431">
        <f>F10_form_validator!H35</f>
        <v>3</v>
      </c>
      <c r="H41" s="431">
        <f>F10_form_validator!J35</f>
        <v>3.5</v>
      </c>
      <c r="I41" s="499">
        <v>0</v>
      </c>
      <c r="J41" s="171"/>
      <c r="L41" s="433">
        <v>1.1627906976744187</v>
      </c>
      <c r="M41" s="434">
        <f t="shared" si="1"/>
        <v>4.6511627906976747</v>
      </c>
      <c r="N41" s="435">
        <v>4</v>
      </c>
    </row>
    <row r="42" spans="1:15" s="30" customFormat="1" ht="15.75" x14ac:dyDescent="0.25">
      <c r="A42" s="126">
        <v>30</v>
      </c>
      <c r="B42" s="183" t="s">
        <v>13</v>
      </c>
      <c r="C42" s="163">
        <v>4</v>
      </c>
      <c r="D42" s="163">
        <v>4</v>
      </c>
      <c r="E42" s="163">
        <v>4</v>
      </c>
      <c r="F42" s="431">
        <f t="shared" si="0"/>
        <v>4</v>
      </c>
      <c r="G42" s="431">
        <f>F10_form_validator!H36</f>
        <v>3</v>
      </c>
      <c r="H42" s="431">
        <f>F10_form_validator!J36</f>
        <v>3.5</v>
      </c>
      <c r="I42" s="499">
        <v>0</v>
      </c>
      <c r="J42" s="171"/>
      <c r="L42" s="433">
        <v>1.1627906976744187</v>
      </c>
      <c r="M42" s="434">
        <f t="shared" si="1"/>
        <v>4.6511627906976747</v>
      </c>
      <c r="N42" s="435">
        <v>4</v>
      </c>
    </row>
    <row r="43" spans="1:15" s="30" customFormat="1" ht="15.75" x14ac:dyDescent="0.25">
      <c r="A43" s="126">
        <v>31</v>
      </c>
      <c r="B43" s="183" t="s">
        <v>14</v>
      </c>
      <c r="C43" s="163">
        <v>4</v>
      </c>
      <c r="D43" s="163">
        <v>4</v>
      </c>
      <c r="E43" s="163">
        <v>4</v>
      </c>
      <c r="F43" s="431">
        <f t="shared" si="0"/>
        <v>4</v>
      </c>
      <c r="G43" s="431">
        <f>F10_form_validator!H37</f>
        <v>3</v>
      </c>
      <c r="H43" s="431">
        <f>F10_form_validator!J37</f>
        <v>3.5</v>
      </c>
      <c r="I43" s="499">
        <v>0</v>
      </c>
      <c r="J43" s="171"/>
      <c r="L43" s="433">
        <v>1.1627906976744187</v>
      </c>
      <c r="M43" s="434">
        <f t="shared" si="1"/>
        <v>4.6511627906976747</v>
      </c>
      <c r="N43" s="435">
        <v>4</v>
      </c>
    </row>
    <row r="44" spans="1:15" s="30" customFormat="1" ht="15.75" x14ac:dyDescent="0.25">
      <c r="A44" s="126">
        <v>32</v>
      </c>
      <c r="B44" s="183" t="s">
        <v>15</v>
      </c>
      <c r="C44" s="163">
        <v>4</v>
      </c>
      <c r="D44" s="163">
        <v>4</v>
      </c>
      <c r="E44" s="163">
        <v>4</v>
      </c>
      <c r="F44" s="431">
        <f t="shared" si="0"/>
        <v>4</v>
      </c>
      <c r="G44" s="431">
        <f>F10_form_validator!H38</f>
        <v>3</v>
      </c>
      <c r="H44" s="431">
        <f>F10_form_validator!J38</f>
        <v>3.5</v>
      </c>
      <c r="I44" s="499">
        <v>0</v>
      </c>
      <c r="J44" s="171"/>
      <c r="L44" s="433">
        <v>1.1627906976744187</v>
      </c>
      <c r="M44" s="434">
        <f t="shared" si="1"/>
        <v>4.6511627906976747</v>
      </c>
      <c r="N44" s="435">
        <v>4</v>
      </c>
    </row>
    <row r="45" spans="1:15" s="30" customFormat="1" ht="15.75" x14ac:dyDescent="0.25">
      <c r="A45" s="126">
        <v>33</v>
      </c>
      <c r="B45" s="183" t="s">
        <v>16</v>
      </c>
      <c r="C45" s="163">
        <v>4</v>
      </c>
      <c r="D45" s="163">
        <v>4</v>
      </c>
      <c r="E45" s="163">
        <v>4</v>
      </c>
      <c r="F45" s="431">
        <f t="shared" si="0"/>
        <v>4</v>
      </c>
      <c r="G45" s="431">
        <f>F10_form_validator!H39</f>
        <v>3</v>
      </c>
      <c r="H45" s="431">
        <f>F10_form_validator!J39</f>
        <v>3.5</v>
      </c>
      <c r="I45" s="499">
        <v>0</v>
      </c>
      <c r="J45" s="171"/>
      <c r="L45" s="433">
        <v>1.1627906976744187</v>
      </c>
      <c r="M45" s="434">
        <f t="shared" si="1"/>
        <v>4.6511627906976747</v>
      </c>
      <c r="N45" s="435">
        <v>4</v>
      </c>
    </row>
    <row r="46" spans="1:15" s="30" customFormat="1" ht="15.75" x14ac:dyDescent="0.25">
      <c r="A46" s="126">
        <v>34</v>
      </c>
      <c r="B46" s="183" t="s">
        <v>17</v>
      </c>
      <c r="C46" s="163">
        <v>4</v>
      </c>
      <c r="D46" s="163">
        <v>4</v>
      </c>
      <c r="E46" s="163">
        <v>4</v>
      </c>
      <c r="F46" s="431">
        <f t="shared" si="0"/>
        <v>4</v>
      </c>
      <c r="G46" s="431">
        <f>F10_form_validator!H40</f>
        <v>3</v>
      </c>
      <c r="H46" s="431">
        <f>F10_form_validator!J40</f>
        <v>3.5</v>
      </c>
      <c r="I46" s="499">
        <v>0</v>
      </c>
      <c r="J46" s="171"/>
      <c r="L46" s="433">
        <v>1.1627906976744187</v>
      </c>
      <c r="M46" s="434">
        <f t="shared" si="1"/>
        <v>4.6511627906976747</v>
      </c>
      <c r="N46" s="435">
        <v>4</v>
      </c>
    </row>
    <row r="47" spans="1:15" s="30" customFormat="1" ht="15.75" x14ac:dyDescent="0.25">
      <c r="A47" s="126">
        <v>35</v>
      </c>
      <c r="B47" s="183" t="s">
        <v>154</v>
      </c>
      <c r="C47" s="163">
        <v>4</v>
      </c>
      <c r="D47" s="163">
        <v>4</v>
      </c>
      <c r="E47" s="163">
        <v>4</v>
      </c>
      <c r="F47" s="431">
        <f t="shared" si="0"/>
        <v>4</v>
      </c>
      <c r="G47" s="431">
        <f>F10_form_validator!H41</f>
        <v>3</v>
      </c>
      <c r="H47" s="431">
        <f>F10_form_validator!J41</f>
        <v>3.5</v>
      </c>
      <c r="I47" s="499">
        <v>0</v>
      </c>
      <c r="J47" s="171"/>
      <c r="L47" s="433">
        <v>0.51679586563307489</v>
      </c>
      <c r="M47" s="434">
        <f t="shared" si="1"/>
        <v>2.0671834625322996</v>
      </c>
      <c r="N47" s="435">
        <v>4</v>
      </c>
    </row>
    <row r="48" spans="1:15" s="30" customFormat="1" ht="15.75" x14ac:dyDescent="0.25">
      <c r="A48" s="126">
        <v>36</v>
      </c>
      <c r="B48" s="183" t="s">
        <v>155</v>
      </c>
      <c r="C48" s="163">
        <v>4</v>
      </c>
      <c r="D48" s="163">
        <v>4</v>
      </c>
      <c r="E48" s="163">
        <v>4</v>
      </c>
      <c r="F48" s="431">
        <f t="shared" si="0"/>
        <v>4</v>
      </c>
      <c r="G48" s="431">
        <f>F10_form_validator!H42</f>
        <v>3</v>
      </c>
      <c r="H48" s="431">
        <f>F10_form_validator!J42</f>
        <v>3.5</v>
      </c>
      <c r="I48" s="499">
        <v>0</v>
      </c>
      <c r="J48" s="171"/>
      <c r="L48" s="433">
        <v>1.0335917312661498</v>
      </c>
      <c r="M48" s="434">
        <f t="shared" si="1"/>
        <v>4.1343669250645991</v>
      </c>
      <c r="N48" s="435">
        <v>4</v>
      </c>
    </row>
    <row r="49" spans="1:14" s="30" customFormat="1" ht="15.75" x14ac:dyDescent="0.25">
      <c r="A49" s="126">
        <v>37</v>
      </c>
      <c r="B49" s="183" t="s">
        <v>677</v>
      </c>
      <c r="C49" s="163">
        <v>4</v>
      </c>
      <c r="D49" s="163">
        <v>4</v>
      </c>
      <c r="E49" s="163">
        <v>4</v>
      </c>
      <c r="F49" s="431">
        <f t="shared" si="0"/>
        <v>4</v>
      </c>
      <c r="G49" s="431">
        <f>F10_form_validator!H43</f>
        <v>3</v>
      </c>
      <c r="H49" s="431">
        <f>F10_form_validator!J43</f>
        <v>3.5</v>
      </c>
      <c r="I49" s="499">
        <v>0</v>
      </c>
      <c r="J49" s="171"/>
      <c r="L49" s="433">
        <v>2.5839793281653742</v>
      </c>
      <c r="M49" s="434">
        <f t="shared" si="1"/>
        <v>10.335917312661497</v>
      </c>
      <c r="N49" s="435">
        <v>4</v>
      </c>
    </row>
    <row r="50" spans="1:14" s="30" customFormat="1" ht="15.75" x14ac:dyDescent="0.25">
      <c r="A50" s="126">
        <v>38</v>
      </c>
      <c r="B50" s="183" t="s">
        <v>515</v>
      </c>
      <c r="C50" s="163">
        <v>4</v>
      </c>
      <c r="D50" s="163">
        <v>4</v>
      </c>
      <c r="E50" s="163">
        <v>4</v>
      </c>
      <c r="F50" s="431">
        <f t="shared" si="0"/>
        <v>4</v>
      </c>
      <c r="G50" s="431">
        <f>F10_form_validator!H44</f>
        <v>3</v>
      </c>
      <c r="H50" s="431">
        <f>F10_form_validator!J44</f>
        <v>3.5</v>
      </c>
      <c r="I50" s="499">
        <v>0</v>
      </c>
      <c r="J50" s="171"/>
      <c r="L50" s="433">
        <v>5.1679586563307485</v>
      </c>
      <c r="M50" s="434">
        <f t="shared" si="1"/>
        <v>20.671834625322994</v>
      </c>
      <c r="N50" s="435">
        <v>4</v>
      </c>
    </row>
    <row r="51" spans="1:14" s="30" customFormat="1" ht="15.75" x14ac:dyDescent="0.25">
      <c r="A51" s="126">
        <v>39</v>
      </c>
      <c r="B51" s="183" t="s">
        <v>516</v>
      </c>
      <c r="C51" s="163">
        <v>4</v>
      </c>
      <c r="D51" s="163">
        <v>4</v>
      </c>
      <c r="E51" s="163">
        <v>4</v>
      </c>
      <c r="F51" s="431">
        <f t="shared" si="0"/>
        <v>4</v>
      </c>
      <c r="G51" s="431">
        <f>F10_form_validator!H45</f>
        <v>3</v>
      </c>
      <c r="H51" s="431">
        <f>F10_form_validator!J45</f>
        <v>3.5</v>
      </c>
      <c r="I51" s="499">
        <v>0</v>
      </c>
      <c r="J51" s="171"/>
      <c r="L51" s="433">
        <v>5.1679586563307485</v>
      </c>
      <c r="M51" s="434">
        <f t="shared" si="1"/>
        <v>20.671834625322994</v>
      </c>
      <c r="N51" s="435">
        <v>4</v>
      </c>
    </row>
    <row r="52" spans="1:14" s="30" customFormat="1" ht="15.75" x14ac:dyDescent="0.25">
      <c r="A52" s="126">
        <v>40</v>
      </c>
      <c r="B52" s="183" t="s">
        <v>519</v>
      </c>
      <c r="C52" s="163">
        <v>4</v>
      </c>
      <c r="D52" s="163">
        <v>4</v>
      </c>
      <c r="E52" s="163">
        <v>4</v>
      </c>
      <c r="F52" s="431">
        <f t="shared" si="0"/>
        <v>4</v>
      </c>
      <c r="G52" s="431">
        <f>F10_form_validator!H46</f>
        <v>3</v>
      </c>
      <c r="H52" s="431">
        <f>F10_form_validator!J46</f>
        <v>3.5</v>
      </c>
      <c r="I52" s="499">
        <v>0</v>
      </c>
      <c r="J52" s="171"/>
      <c r="L52" s="433">
        <v>1.0335917312661498</v>
      </c>
      <c r="M52" s="434">
        <f t="shared" si="1"/>
        <v>4.1343669250645991</v>
      </c>
      <c r="N52" s="435">
        <v>4</v>
      </c>
    </row>
    <row r="53" spans="1:14" s="30" customFormat="1" ht="15.75" x14ac:dyDescent="0.25">
      <c r="A53" s="126">
        <v>41</v>
      </c>
      <c r="B53" s="183">
        <v>5.2</v>
      </c>
      <c r="C53" s="163">
        <v>4</v>
      </c>
      <c r="D53" s="163">
        <v>4</v>
      </c>
      <c r="E53" s="163">
        <v>4</v>
      </c>
      <c r="F53" s="431">
        <f t="shared" si="0"/>
        <v>4</v>
      </c>
      <c r="G53" s="431">
        <f>F10_form_validator!H47</f>
        <v>3</v>
      </c>
      <c r="H53" s="431">
        <f>F10_form_validator!J47</f>
        <v>3.5</v>
      </c>
      <c r="I53" s="499">
        <v>0</v>
      </c>
      <c r="J53" s="171"/>
      <c r="L53" s="433">
        <v>0.25839793281653745</v>
      </c>
      <c r="M53" s="434">
        <f t="shared" si="1"/>
        <v>1.0335917312661498</v>
      </c>
      <c r="N53" s="435">
        <v>4</v>
      </c>
    </row>
    <row r="54" spans="1:14" s="30" customFormat="1" ht="15.75" x14ac:dyDescent="0.25">
      <c r="A54" s="126">
        <v>42</v>
      </c>
      <c r="B54" s="183">
        <v>5.3</v>
      </c>
      <c r="C54" s="163">
        <v>4</v>
      </c>
      <c r="D54" s="163">
        <v>4</v>
      </c>
      <c r="E54" s="163">
        <v>4</v>
      </c>
      <c r="F54" s="431">
        <f t="shared" si="0"/>
        <v>4</v>
      </c>
      <c r="G54" s="431">
        <f>F10_form_validator!H48</f>
        <v>3</v>
      </c>
      <c r="H54" s="431">
        <f>F10_form_validator!J48</f>
        <v>3.5</v>
      </c>
      <c r="I54" s="499">
        <v>0</v>
      </c>
      <c r="J54" s="171"/>
      <c r="L54" s="433">
        <v>1.0335917312661498</v>
      </c>
      <c r="M54" s="434">
        <f t="shared" si="1"/>
        <v>4.1343669250645991</v>
      </c>
      <c r="N54" s="435">
        <v>4</v>
      </c>
    </row>
    <row r="55" spans="1:14" s="30" customFormat="1" ht="15.75" x14ac:dyDescent="0.25">
      <c r="A55" s="126">
        <v>43</v>
      </c>
      <c r="B55" s="183" t="s">
        <v>531</v>
      </c>
      <c r="C55" s="163">
        <v>4</v>
      </c>
      <c r="D55" s="163">
        <v>4</v>
      </c>
      <c r="E55" s="163">
        <v>4</v>
      </c>
      <c r="F55" s="431">
        <f t="shared" si="0"/>
        <v>4</v>
      </c>
      <c r="G55" s="431">
        <f>F10_form_validator!H49</f>
        <v>3</v>
      </c>
      <c r="H55" s="431">
        <f>F10_form_validator!J49</f>
        <v>3.5</v>
      </c>
      <c r="I55" s="499">
        <v>0</v>
      </c>
      <c r="J55" s="171"/>
      <c r="L55" s="433">
        <v>0.51679586563307489</v>
      </c>
      <c r="M55" s="434">
        <f t="shared" si="1"/>
        <v>2.0671834625322996</v>
      </c>
      <c r="N55" s="435">
        <v>4</v>
      </c>
    </row>
    <row r="56" spans="1:14" s="30" customFormat="1" ht="15.75" x14ac:dyDescent="0.25">
      <c r="A56" s="126">
        <v>44</v>
      </c>
      <c r="B56" s="183" t="s">
        <v>538</v>
      </c>
      <c r="C56" s="163">
        <v>4</v>
      </c>
      <c r="D56" s="163">
        <v>4</v>
      </c>
      <c r="E56" s="163">
        <v>4</v>
      </c>
      <c r="F56" s="431">
        <f t="shared" si="0"/>
        <v>4</v>
      </c>
      <c r="G56" s="431">
        <f>F10_form_validator!H50</f>
        <v>3</v>
      </c>
      <c r="H56" s="431">
        <f>F10_form_validator!J50</f>
        <v>3.5</v>
      </c>
      <c r="I56" s="499">
        <v>0</v>
      </c>
      <c r="J56" s="171"/>
      <c r="L56" s="433">
        <v>0.77519379844961234</v>
      </c>
      <c r="M56" s="434">
        <f t="shared" si="1"/>
        <v>3.1007751937984493</v>
      </c>
      <c r="N56" s="435">
        <v>4</v>
      </c>
    </row>
    <row r="57" spans="1:14" s="30" customFormat="1" ht="15.75" x14ac:dyDescent="0.25">
      <c r="A57" s="126">
        <v>45</v>
      </c>
      <c r="B57" s="183" t="s">
        <v>539</v>
      </c>
      <c r="C57" s="163">
        <v>4</v>
      </c>
      <c r="D57" s="163">
        <v>4</v>
      </c>
      <c r="E57" s="163">
        <v>4</v>
      </c>
      <c r="F57" s="431">
        <f t="shared" si="0"/>
        <v>4</v>
      </c>
      <c r="G57" s="431">
        <f>F10_form_validator!H51</f>
        <v>3</v>
      </c>
      <c r="H57" s="431">
        <f>F10_form_validator!J51</f>
        <v>3.5</v>
      </c>
      <c r="I57" s="499">
        <v>0</v>
      </c>
      <c r="J57" s="171"/>
      <c r="L57" s="433">
        <v>0.51679586563307489</v>
      </c>
      <c r="M57" s="434">
        <f t="shared" si="1"/>
        <v>2.0671834625322996</v>
      </c>
      <c r="N57" s="435">
        <v>4</v>
      </c>
    </row>
    <row r="58" spans="1:14" s="30" customFormat="1" ht="15.75" x14ac:dyDescent="0.25">
      <c r="A58" s="126">
        <v>46</v>
      </c>
      <c r="B58" s="183" t="s">
        <v>545</v>
      </c>
      <c r="C58" s="163">
        <v>4</v>
      </c>
      <c r="D58" s="163">
        <v>4</v>
      </c>
      <c r="E58" s="163">
        <v>4</v>
      </c>
      <c r="F58" s="431">
        <f t="shared" si="0"/>
        <v>4</v>
      </c>
      <c r="G58" s="431">
        <f>F10_form_validator!H52</f>
        <v>3</v>
      </c>
      <c r="H58" s="431">
        <f>F10_form_validator!J52</f>
        <v>3.5</v>
      </c>
      <c r="I58" s="499">
        <v>0</v>
      </c>
      <c r="J58" s="171"/>
      <c r="L58" s="433">
        <v>1.0335917312661498</v>
      </c>
      <c r="M58" s="434">
        <f t="shared" si="1"/>
        <v>4.1343669250645991</v>
      </c>
      <c r="N58" s="435">
        <v>4</v>
      </c>
    </row>
    <row r="59" spans="1:14" s="30" customFormat="1" ht="15.75" x14ac:dyDescent="0.25">
      <c r="A59" s="126">
        <v>47</v>
      </c>
      <c r="B59" s="183" t="s">
        <v>551</v>
      </c>
      <c r="C59" s="163">
        <v>4</v>
      </c>
      <c r="D59" s="163">
        <v>4</v>
      </c>
      <c r="E59" s="163">
        <v>4</v>
      </c>
      <c r="F59" s="431">
        <f t="shared" si="0"/>
        <v>4</v>
      </c>
      <c r="G59" s="431">
        <f>F10_form_validator!H53</f>
        <v>3</v>
      </c>
      <c r="H59" s="431">
        <f>F10_form_validator!J53</f>
        <v>3.5</v>
      </c>
      <c r="I59" s="499">
        <v>0</v>
      </c>
      <c r="J59" s="171"/>
      <c r="L59" s="433">
        <v>0.51679586563307489</v>
      </c>
      <c r="M59" s="434">
        <f t="shared" si="1"/>
        <v>2.0671834625322996</v>
      </c>
      <c r="N59" s="435">
        <v>4</v>
      </c>
    </row>
    <row r="60" spans="1:14" s="30" customFormat="1" ht="15.75" x14ac:dyDescent="0.25">
      <c r="A60" s="126">
        <v>48</v>
      </c>
      <c r="B60" s="183" t="s">
        <v>555</v>
      </c>
      <c r="C60" s="163">
        <v>4</v>
      </c>
      <c r="D60" s="163">
        <v>4</v>
      </c>
      <c r="E60" s="163">
        <v>4</v>
      </c>
      <c r="F60" s="431">
        <f t="shared" si="0"/>
        <v>4</v>
      </c>
      <c r="G60" s="431">
        <f>F10_form_validator!H54</f>
        <v>3</v>
      </c>
      <c r="H60" s="431">
        <f>F10_form_validator!J54</f>
        <v>3.5</v>
      </c>
      <c r="I60" s="499">
        <v>0</v>
      </c>
      <c r="J60" s="171"/>
      <c r="L60" s="433">
        <v>1.0335917312661498</v>
      </c>
      <c r="M60" s="434">
        <f t="shared" si="1"/>
        <v>4.1343669250645991</v>
      </c>
      <c r="N60" s="435">
        <v>4</v>
      </c>
    </row>
    <row r="61" spans="1:14" s="30" customFormat="1" ht="15.75" x14ac:dyDescent="0.25">
      <c r="A61" s="126">
        <v>49</v>
      </c>
      <c r="B61" s="183" t="s">
        <v>156</v>
      </c>
      <c r="C61" s="163">
        <v>4</v>
      </c>
      <c r="D61" s="163">
        <v>4</v>
      </c>
      <c r="E61" s="163">
        <v>4</v>
      </c>
      <c r="F61" s="431">
        <f t="shared" si="0"/>
        <v>4</v>
      </c>
      <c r="G61" s="431">
        <f>F10_form_validator!H55</f>
        <v>3</v>
      </c>
      <c r="H61" s="431">
        <f>F10_form_validator!J55</f>
        <v>3.5</v>
      </c>
      <c r="I61" s="499">
        <v>0</v>
      </c>
      <c r="J61" s="171"/>
      <c r="L61" s="433">
        <v>0.51679586563307489</v>
      </c>
      <c r="M61" s="434">
        <f t="shared" si="1"/>
        <v>2.0671834625322996</v>
      </c>
      <c r="N61" s="435">
        <v>4</v>
      </c>
    </row>
    <row r="62" spans="1:14" s="30" customFormat="1" ht="15.75" x14ac:dyDescent="0.25">
      <c r="A62" s="126">
        <v>50</v>
      </c>
      <c r="B62" s="183" t="s">
        <v>157</v>
      </c>
      <c r="C62" s="163">
        <v>4</v>
      </c>
      <c r="D62" s="163">
        <v>4</v>
      </c>
      <c r="E62" s="163">
        <v>4</v>
      </c>
      <c r="F62" s="431">
        <f t="shared" si="0"/>
        <v>4</v>
      </c>
      <c r="G62" s="431">
        <f>F10_form_validator!H56</f>
        <v>3</v>
      </c>
      <c r="H62" s="431">
        <f>F10_form_validator!J56</f>
        <v>3.5</v>
      </c>
      <c r="I62" s="499">
        <v>0</v>
      </c>
      <c r="J62" s="171"/>
      <c r="L62" s="433">
        <v>0.51679586563307489</v>
      </c>
      <c r="M62" s="434">
        <f t="shared" si="1"/>
        <v>2.0671834625322996</v>
      </c>
      <c r="N62" s="435">
        <v>4</v>
      </c>
    </row>
    <row r="63" spans="1:14" s="30" customFormat="1" ht="15.75" x14ac:dyDescent="0.25">
      <c r="A63" s="126">
        <v>51</v>
      </c>
      <c r="B63" s="183" t="s">
        <v>158</v>
      </c>
      <c r="C63" s="163">
        <v>4</v>
      </c>
      <c r="D63" s="163">
        <v>4</v>
      </c>
      <c r="E63" s="163">
        <v>4</v>
      </c>
      <c r="F63" s="431">
        <f t="shared" si="0"/>
        <v>4</v>
      </c>
      <c r="G63" s="431">
        <f>F10_form_validator!H57</f>
        <v>3</v>
      </c>
      <c r="H63" s="431">
        <f>F10_form_validator!J57</f>
        <v>3.5</v>
      </c>
      <c r="I63" s="499">
        <v>0</v>
      </c>
      <c r="J63" s="171"/>
      <c r="L63" s="433">
        <v>0.51679586563307489</v>
      </c>
      <c r="M63" s="434">
        <f t="shared" si="1"/>
        <v>2.0671834625322996</v>
      </c>
      <c r="N63" s="435">
        <v>4</v>
      </c>
    </row>
    <row r="64" spans="1:14" s="30" customFormat="1" ht="15.75" x14ac:dyDescent="0.25">
      <c r="A64" s="126">
        <v>52</v>
      </c>
      <c r="B64" s="183" t="s">
        <v>573</v>
      </c>
      <c r="C64" s="163">
        <v>4</v>
      </c>
      <c r="D64" s="163">
        <v>4</v>
      </c>
      <c r="E64" s="163">
        <v>4</v>
      </c>
      <c r="F64" s="431">
        <f t="shared" si="0"/>
        <v>4</v>
      </c>
      <c r="G64" s="431">
        <f>F10_form_validator!H58</f>
        <v>3</v>
      </c>
      <c r="H64" s="431">
        <f>F10_form_validator!J58</f>
        <v>3.5</v>
      </c>
      <c r="I64" s="499">
        <v>0</v>
      </c>
      <c r="J64" s="171"/>
      <c r="L64" s="433">
        <v>0.51679586563307489</v>
      </c>
      <c r="M64" s="434">
        <f t="shared" si="1"/>
        <v>2.0671834625322996</v>
      </c>
      <c r="N64" s="435">
        <v>4</v>
      </c>
    </row>
    <row r="65" spans="1:14" s="30" customFormat="1" ht="15.75" x14ac:dyDescent="0.25">
      <c r="A65" s="126">
        <v>53</v>
      </c>
      <c r="B65" s="183" t="s">
        <v>187</v>
      </c>
      <c r="C65" s="163">
        <v>4</v>
      </c>
      <c r="D65" s="163">
        <v>4</v>
      </c>
      <c r="E65" s="163">
        <v>4</v>
      </c>
      <c r="F65" s="431">
        <f t="shared" si="0"/>
        <v>4</v>
      </c>
      <c r="G65" s="431">
        <f>F10_form_validator!H59</f>
        <v>3</v>
      </c>
      <c r="H65" s="431">
        <f>F10_form_validator!J59</f>
        <v>3.5</v>
      </c>
      <c r="I65" s="499">
        <v>0</v>
      </c>
      <c r="J65" s="171"/>
      <c r="L65" s="433">
        <v>1.0570824524312896</v>
      </c>
      <c r="M65" s="434">
        <f t="shared" si="1"/>
        <v>4.2283298097251585</v>
      </c>
      <c r="N65" s="435">
        <v>4</v>
      </c>
    </row>
    <row r="66" spans="1:14" s="30" customFormat="1" ht="15.75" x14ac:dyDescent="0.25">
      <c r="A66" s="126">
        <v>54</v>
      </c>
      <c r="B66" s="183" t="s">
        <v>189</v>
      </c>
      <c r="C66" s="163">
        <v>4</v>
      </c>
      <c r="D66" s="163">
        <v>4</v>
      </c>
      <c r="E66" s="163">
        <v>4</v>
      </c>
      <c r="F66" s="431">
        <f t="shared" si="0"/>
        <v>4</v>
      </c>
      <c r="G66" s="431">
        <f>F10_form_validator!H60</f>
        <v>3</v>
      </c>
      <c r="H66" s="431">
        <f>F10_form_validator!J60</f>
        <v>3.5</v>
      </c>
      <c r="I66" s="499">
        <v>0</v>
      </c>
      <c r="J66" s="171"/>
      <c r="L66" s="433">
        <v>0.52854122621564481</v>
      </c>
      <c r="M66" s="434">
        <f t="shared" si="1"/>
        <v>2.1141649048625792</v>
      </c>
      <c r="N66" s="435">
        <v>4</v>
      </c>
    </row>
    <row r="67" spans="1:14" s="30" customFormat="1" ht="15.75" x14ac:dyDescent="0.25">
      <c r="A67" s="126">
        <v>55</v>
      </c>
      <c r="B67" s="183" t="s">
        <v>191</v>
      </c>
      <c r="C67" s="163">
        <v>4</v>
      </c>
      <c r="D67" s="163">
        <v>4</v>
      </c>
      <c r="E67" s="163">
        <v>4</v>
      </c>
      <c r="F67" s="431">
        <f t="shared" si="0"/>
        <v>4</v>
      </c>
      <c r="G67" s="431">
        <f>F10_form_validator!H61</f>
        <v>3</v>
      </c>
      <c r="H67" s="431">
        <f>F10_form_validator!J61</f>
        <v>3.5</v>
      </c>
      <c r="I67" s="499">
        <v>0</v>
      </c>
      <c r="J67" s="171"/>
      <c r="L67" s="433">
        <v>1.0570824524312896</v>
      </c>
      <c r="M67" s="434">
        <f t="shared" si="1"/>
        <v>4.2283298097251585</v>
      </c>
      <c r="N67" s="435">
        <v>4</v>
      </c>
    </row>
    <row r="68" spans="1:14" s="30" customFormat="1" ht="15.75" x14ac:dyDescent="0.25">
      <c r="A68" s="126">
        <v>56</v>
      </c>
      <c r="B68" s="183" t="s">
        <v>587</v>
      </c>
      <c r="C68" s="163">
        <v>4</v>
      </c>
      <c r="D68" s="163">
        <v>4</v>
      </c>
      <c r="E68" s="163">
        <v>4</v>
      </c>
      <c r="F68" s="431">
        <f t="shared" si="0"/>
        <v>4</v>
      </c>
      <c r="G68" s="431">
        <f>F10_form_validator!H62</f>
        <v>3</v>
      </c>
      <c r="H68" s="431">
        <f>F10_form_validator!J62</f>
        <v>3.5</v>
      </c>
      <c r="I68" s="499">
        <v>0</v>
      </c>
      <c r="J68" s="171"/>
      <c r="L68" s="433">
        <v>0.52854122621564481</v>
      </c>
      <c r="M68" s="434">
        <f t="shared" si="1"/>
        <v>2.1141649048625792</v>
      </c>
      <c r="N68" s="435">
        <v>4</v>
      </c>
    </row>
    <row r="69" spans="1:14" s="30" customFormat="1" ht="15.75" x14ac:dyDescent="0.25">
      <c r="A69" s="126">
        <v>57</v>
      </c>
      <c r="B69" s="183" t="s">
        <v>588</v>
      </c>
      <c r="C69" s="163">
        <v>4</v>
      </c>
      <c r="D69" s="163">
        <v>4</v>
      </c>
      <c r="E69" s="163">
        <v>4</v>
      </c>
      <c r="F69" s="431">
        <f t="shared" si="0"/>
        <v>4</v>
      </c>
      <c r="G69" s="431">
        <f>F10_form_validator!H63</f>
        <v>3</v>
      </c>
      <c r="H69" s="431">
        <f>F10_form_validator!J63</f>
        <v>3.5</v>
      </c>
      <c r="I69" s="499">
        <v>0</v>
      </c>
      <c r="J69" s="171"/>
      <c r="L69" s="433">
        <v>0.52854122621564481</v>
      </c>
      <c r="M69" s="434">
        <f t="shared" si="1"/>
        <v>2.1141649048625792</v>
      </c>
      <c r="N69" s="435">
        <v>4</v>
      </c>
    </row>
    <row r="70" spans="1:14" s="30" customFormat="1" ht="15.75" x14ac:dyDescent="0.25">
      <c r="A70" s="126">
        <v>58</v>
      </c>
      <c r="B70" s="183" t="s">
        <v>592</v>
      </c>
      <c r="C70" s="163">
        <v>4</v>
      </c>
      <c r="D70" s="163">
        <v>4</v>
      </c>
      <c r="E70" s="163">
        <v>4</v>
      </c>
      <c r="F70" s="431">
        <f t="shared" si="0"/>
        <v>4</v>
      </c>
      <c r="G70" s="431">
        <f>F10_form_validator!H64</f>
        <v>3</v>
      </c>
      <c r="H70" s="431">
        <f>F10_form_validator!J64</f>
        <v>3.5</v>
      </c>
      <c r="I70" s="499">
        <v>0</v>
      </c>
      <c r="J70" s="171"/>
      <c r="L70" s="433">
        <v>2.1141649048625792</v>
      </c>
      <c r="M70" s="434">
        <f t="shared" si="1"/>
        <v>8.456659619450317</v>
      </c>
      <c r="N70" s="435">
        <v>4</v>
      </c>
    </row>
    <row r="71" spans="1:14" s="30" customFormat="1" ht="15.75" x14ac:dyDescent="0.25">
      <c r="A71" s="126">
        <v>59</v>
      </c>
      <c r="B71" s="183" t="s">
        <v>600</v>
      </c>
      <c r="C71" s="163">
        <v>4</v>
      </c>
      <c r="D71" s="163">
        <v>4</v>
      </c>
      <c r="E71" s="163">
        <v>4</v>
      </c>
      <c r="F71" s="431">
        <f t="shared" si="0"/>
        <v>4</v>
      </c>
      <c r="G71" s="431">
        <f>F10_form_validator!H65</f>
        <v>3</v>
      </c>
      <c r="H71" s="431">
        <f>F10_form_validator!J65</f>
        <v>3.5</v>
      </c>
      <c r="I71" s="499">
        <v>0</v>
      </c>
      <c r="J71" s="171"/>
      <c r="L71" s="433">
        <v>1.0570824524312896</v>
      </c>
      <c r="M71" s="434">
        <f t="shared" si="1"/>
        <v>4.2283298097251585</v>
      </c>
      <c r="N71" s="435">
        <v>4</v>
      </c>
    </row>
    <row r="72" spans="1:14" s="30" customFormat="1" ht="15.75" x14ac:dyDescent="0.25">
      <c r="A72" s="126">
        <v>60</v>
      </c>
      <c r="B72" s="183" t="s">
        <v>606</v>
      </c>
      <c r="C72" s="163">
        <v>4</v>
      </c>
      <c r="D72" s="163">
        <v>4</v>
      </c>
      <c r="E72" s="163">
        <v>4</v>
      </c>
      <c r="F72" s="431">
        <f t="shared" si="0"/>
        <v>4</v>
      </c>
      <c r="G72" s="431">
        <f>F10_form_validator!H66</f>
        <v>3</v>
      </c>
      <c r="H72" s="431">
        <f>F10_form_validator!J66</f>
        <v>3.5</v>
      </c>
      <c r="I72" s="499">
        <v>0</v>
      </c>
      <c r="J72" s="171"/>
      <c r="L72" s="433">
        <v>1.0570824524312896</v>
      </c>
      <c r="M72" s="434">
        <f t="shared" si="1"/>
        <v>4.2283298097251585</v>
      </c>
      <c r="N72" s="435">
        <v>4</v>
      </c>
    </row>
    <row r="73" spans="1:14" s="30" customFormat="1" ht="15.75" x14ac:dyDescent="0.25">
      <c r="A73" s="126">
        <v>61</v>
      </c>
      <c r="B73" s="183" t="s">
        <v>610</v>
      </c>
      <c r="C73" s="163">
        <v>4</v>
      </c>
      <c r="D73" s="163">
        <v>4</v>
      </c>
      <c r="E73" s="163">
        <v>4</v>
      </c>
      <c r="F73" s="431">
        <f t="shared" si="0"/>
        <v>4</v>
      </c>
      <c r="G73" s="431">
        <f>F10_form_validator!H67</f>
        <v>3</v>
      </c>
      <c r="H73" s="431">
        <f>F10_form_validator!J67</f>
        <v>3.5</v>
      </c>
      <c r="I73" s="499">
        <v>0</v>
      </c>
      <c r="J73" s="171"/>
      <c r="L73" s="433">
        <v>1.0570824524312896</v>
      </c>
      <c r="M73" s="434">
        <f t="shared" si="1"/>
        <v>4.2283298097251585</v>
      </c>
      <c r="N73" s="435">
        <v>4</v>
      </c>
    </row>
    <row r="74" spans="1:14" s="30" customFormat="1" ht="15.75" x14ac:dyDescent="0.25">
      <c r="A74" s="126">
        <v>62</v>
      </c>
      <c r="B74" s="183" t="s">
        <v>614</v>
      </c>
      <c r="C74" s="163">
        <v>4</v>
      </c>
      <c r="D74" s="163">
        <v>4</v>
      </c>
      <c r="E74" s="163">
        <v>4</v>
      </c>
      <c r="F74" s="431">
        <f t="shared" si="0"/>
        <v>4</v>
      </c>
      <c r="G74" s="431">
        <f>F10_form_validator!H68</f>
        <v>3</v>
      </c>
      <c r="H74" s="431">
        <f>F10_form_validator!J68</f>
        <v>3.5</v>
      </c>
      <c r="I74" s="499">
        <v>0</v>
      </c>
      <c r="J74" s="171"/>
      <c r="L74" s="433">
        <v>1.0570824524312896</v>
      </c>
      <c r="M74" s="434">
        <f t="shared" si="1"/>
        <v>4.2283298097251585</v>
      </c>
      <c r="N74" s="435">
        <v>4</v>
      </c>
    </row>
    <row r="75" spans="1:14" s="30" customFormat="1" ht="15.75" x14ac:dyDescent="0.25">
      <c r="A75" s="126">
        <v>63</v>
      </c>
      <c r="B75" s="183" t="s">
        <v>618</v>
      </c>
      <c r="C75" s="163">
        <v>4</v>
      </c>
      <c r="D75" s="163">
        <v>4</v>
      </c>
      <c r="E75" s="163">
        <v>4</v>
      </c>
      <c r="F75" s="431">
        <f t="shared" si="0"/>
        <v>4</v>
      </c>
      <c r="G75" s="431">
        <f>F10_form_validator!H69</f>
        <v>3</v>
      </c>
      <c r="H75" s="431">
        <f>F10_form_validator!J69</f>
        <v>3.5</v>
      </c>
      <c r="I75" s="499">
        <v>0</v>
      </c>
      <c r="J75" s="171"/>
      <c r="L75" s="433">
        <v>0.52854122621564481</v>
      </c>
      <c r="M75" s="434">
        <f t="shared" si="1"/>
        <v>2.1141649048625792</v>
      </c>
      <c r="N75" s="435">
        <v>4</v>
      </c>
    </row>
    <row r="76" spans="1:14" s="30" customFormat="1" ht="15.75" x14ac:dyDescent="0.25">
      <c r="A76" s="126">
        <v>64</v>
      </c>
      <c r="B76" s="183" t="s">
        <v>622</v>
      </c>
      <c r="C76" s="163">
        <v>4</v>
      </c>
      <c r="D76" s="163">
        <v>4</v>
      </c>
      <c r="E76" s="163">
        <v>4</v>
      </c>
      <c r="F76" s="431">
        <f t="shared" si="0"/>
        <v>4</v>
      </c>
      <c r="G76" s="431">
        <f>F10_form_validator!H70</f>
        <v>3</v>
      </c>
      <c r="H76" s="431">
        <f>F10_form_validator!J70</f>
        <v>3.5</v>
      </c>
      <c r="I76" s="499">
        <v>0</v>
      </c>
      <c r="J76" s="171"/>
      <c r="L76" s="433">
        <v>2.1141649048625792</v>
      </c>
      <c r="M76" s="434">
        <f t="shared" si="1"/>
        <v>8.456659619450317</v>
      </c>
      <c r="N76" s="435">
        <v>4</v>
      </c>
    </row>
    <row r="77" spans="1:14" s="30" customFormat="1" ht="15.75" x14ac:dyDescent="0.25">
      <c r="A77" s="126">
        <v>65</v>
      </c>
      <c r="B77" s="183" t="s">
        <v>623</v>
      </c>
      <c r="C77" s="163">
        <v>4</v>
      </c>
      <c r="D77" s="163">
        <v>4</v>
      </c>
      <c r="E77" s="163">
        <v>4</v>
      </c>
      <c r="F77" s="431">
        <f t="shared" si="0"/>
        <v>4</v>
      </c>
      <c r="G77" s="431">
        <f>F10_form_validator!H71</f>
        <v>3</v>
      </c>
      <c r="H77" s="431">
        <f>F10_form_validator!J71</f>
        <v>3.5</v>
      </c>
      <c r="I77" s="499">
        <v>0</v>
      </c>
      <c r="J77" s="171"/>
      <c r="L77" s="433">
        <v>3.1712473572938684</v>
      </c>
      <c r="M77" s="434">
        <f t="shared" si="1"/>
        <v>12.684989429175474</v>
      </c>
      <c r="N77" s="435">
        <v>4</v>
      </c>
    </row>
    <row r="78" spans="1:14" s="30" customFormat="1" ht="15.75" x14ac:dyDescent="0.25">
      <c r="A78" s="126">
        <v>66</v>
      </c>
      <c r="B78" s="183" t="s">
        <v>627</v>
      </c>
      <c r="C78" s="163">
        <v>4</v>
      </c>
      <c r="D78" s="163">
        <v>4</v>
      </c>
      <c r="E78" s="163">
        <v>4</v>
      </c>
      <c r="F78" s="431">
        <f t="shared" ref="F78:F87" si="2">SUM(C78:E78)/$D$7</f>
        <v>4</v>
      </c>
      <c r="G78" s="431">
        <f>F10_form_validator!H72</f>
        <v>3</v>
      </c>
      <c r="H78" s="431">
        <f>F10_form_validator!J72</f>
        <v>3.5</v>
      </c>
      <c r="I78" s="499">
        <v>0</v>
      </c>
      <c r="J78" s="171"/>
      <c r="L78" s="433">
        <v>2.1141649048625792</v>
      </c>
      <c r="M78" s="434">
        <f t="shared" ref="M78:M87" si="3">F78*L78</f>
        <v>8.456659619450317</v>
      </c>
      <c r="N78" s="435">
        <v>4</v>
      </c>
    </row>
    <row r="79" spans="1:14" s="30" customFormat="1" ht="15.75" x14ac:dyDescent="0.25">
      <c r="A79" s="126">
        <v>67</v>
      </c>
      <c r="B79" s="183" t="s">
        <v>630</v>
      </c>
      <c r="C79" s="163">
        <v>4</v>
      </c>
      <c r="D79" s="163">
        <v>4</v>
      </c>
      <c r="E79" s="163">
        <v>4</v>
      </c>
      <c r="F79" s="431">
        <f t="shared" si="2"/>
        <v>4</v>
      </c>
      <c r="G79" s="431">
        <f>F10_form_validator!H73</f>
        <v>3</v>
      </c>
      <c r="H79" s="431">
        <f>F10_form_validator!J73</f>
        <v>3.5</v>
      </c>
      <c r="I79" s="499">
        <v>0</v>
      </c>
      <c r="J79" s="171"/>
      <c r="L79" s="433">
        <v>3.1712473572938684</v>
      </c>
      <c r="M79" s="434">
        <f t="shared" si="3"/>
        <v>12.684989429175474</v>
      </c>
      <c r="N79" s="435">
        <v>4</v>
      </c>
    </row>
    <row r="80" spans="1:14" s="30" customFormat="1" ht="15.75" x14ac:dyDescent="0.25">
      <c r="A80" s="126">
        <v>68</v>
      </c>
      <c r="B80" s="183">
        <v>6.3</v>
      </c>
      <c r="C80" s="163">
        <v>4</v>
      </c>
      <c r="D80" s="163">
        <v>4</v>
      </c>
      <c r="E80" s="163">
        <v>4</v>
      </c>
      <c r="F80" s="431">
        <f t="shared" si="2"/>
        <v>4</v>
      </c>
      <c r="G80" s="431">
        <f>F10_form_validator!H74</f>
        <v>3</v>
      </c>
      <c r="H80" s="431">
        <f>F10_form_validator!J74</f>
        <v>3.5</v>
      </c>
      <c r="I80" s="499">
        <v>0</v>
      </c>
      <c r="J80" s="171"/>
      <c r="L80" s="433">
        <v>2.1141649048625792</v>
      </c>
      <c r="M80" s="434">
        <f t="shared" si="3"/>
        <v>8.456659619450317</v>
      </c>
      <c r="N80" s="435">
        <v>4</v>
      </c>
    </row>
    <row r="81" spans="1:14" s="30" customFormat="1" ht="15.75" x14ac:dyDescent="0.25">
      <c r="A81" s="126">
        <v>69</v>
      </c>
      <c r="B81" s="183">
        <v>7.1</v>
      </c>
      <c r="C81" s="163">
        <v>4</v>
      </c>
      <c r="D81" s="163">
        <v>4</v>
      </c>
      <c r="E81" s="163">
        <v>4</v>
      </c>
      <c r="F81" s="431">
        <f t="shared" si="2"/>
        <v>4</v>
      </c>
      <c r="G81" s="431">
        <f>F10_form_validator!H75</f>
        <v>3</v>
      </c>
      <c r="H81" s="431">
        <f>F10_form_validator!J75</f>
        <v>3.5</v>
      </c>
      <c r="I81" s="499">
        <v>0</v>
      </c>
      <c r="J81" s="171"/>
      <c r="L81" s="433">
        <v>1.3289036544850499</v>
      </c>
      <c r="M81" s="434">
        <f t="shared" si="3"/>
        <v>5.3156146179401995</v>
      </c>
      <c r="N81" s="435">
        <v>4</v>
      </c>
    </row>
    <row r="82" spans="1:14" s="30" customFormat="1" ht="15.75" x14ac:dyDescent="0.25">
      <c r="A82" s="126">
        <v>70</v>
      </c>
      <c r="B82" s="183" t="s">
        <v>28</v>
      </c>
      <c r="C82" s="163">
        <v>4</v>
      </c>
      <c r="D82" s="163">
        <v>4</v>
      </c>
      <c r="E82" s="163">
        <v>4</v>
      </c>
      <c r="F82" s="431">
        <f t="shared" si="2"/>
        <v>4</v>
      </c>
      <c r="G82" s="431">
        <f>F10_form_validator!H76</f>
        <v>3</v>
      </c>
      <c r="H82" s="431">
        <f>F10_form_validator!J76</f>
        <v>3.5</v>
      </c>
      <c r="I82" s="499">
        <v>0</v>
      </c>
      <c r="J82" s="171"/>
      <c r="L82" s="433">
        <v>1.3289036544850499</v>
      </c>
      <c r="M82" s="434">
        <f t="shared" si="3"/>
        <v>5.3156146179401995</v>
      </c>
      <c r="N82" s="435">
        <v>4</v>
      </c>
    </row>
    <row r="83" spans="1:14" s="30" customFormat="1" ht="15.75" x14ac:dyDescent="0.25">
      <c r="A83" s="126">
        <v>71</v>
      </c>
      <c r="B83" s="183" t="s">
        <v>29</v>
      </c>
      <c r="C83" s="163">
        <v>4</v>
      </c>
      <c r="D83" s="163">
        <v>4</v>
      </c>
      <c r="E83" s="163">
        <v>4</v>
      </c>
      <c r="F83" s="431">
        <f t="shared" si="2"/>
        <v>4</v>
      </c>
      <c r="G83" s="431">
        <f>F10_form_validator!H77</f>
        <v>3</v>
      </c>
      <c r="H83" s="431">
        <f>F10_form_validator!J77</f>
        <v>3.5</v>
      </c>
      <c r="I83" s="499">
        <v>0</v>
      </c>
      <c r="J83" s="171"/>
      <c r="L83" s="433">
        <v>1.3289036544850499</v>
      </c>
      <c r="M83" s="434">
        <f t="shared" si="3"/>
        <v>5.3156146179401995</v>
      </c>
      <c r="N83" s="435">
        <v>4</v>
      </c>
    </row>
    <row r="84" spans="1:14" s="30" customFormat="1" ht="15.75" x14ac:dyDescent="0.25">
      <c r="A84" s="126">
        <v>72</v>
      </c>
      <c r="B84" s="183" t="s">
        <v>163</v>
      </c>
      <c r="C84" s="163">
        <v>4</v>
      </c>
      <c r="D84" s="163">
        <v>4</v>
      </c>
      <c r="E84" s="163">
        <v>4</v>
      </c>
      <c r="F84" s="431">
        <f t="shared" si="2"/>
        <v>4</v>
      </c>
      <c r="G84" s="431">
        <f>F10_form_validator!H78</f>
        <v>3</v>
      </c>
      <c r="H84" s="431">
        <f>F10_form_validator!J78</f>
        <v>3.5</v>
      </c>
      <c r="I84" s="499">
        <v>0</v>
      </c>
      <c r="J84" s="171"/>
      <c r="L84" s="433">
        <v>1.3289036544850499</v>
      </c>
      <c r="M84" s="434">
        <f t="shared" si="3"/>
        <v>5.3156146179401995</v>
      </c>
      <c r="N84" s="435">
        <v>4</v>
      </c>
    </row>
    <row r="85" spans="1:14" s="30" customFormat="1" ht="15.75" x14ac:dyDescent="0.25">
      <c r="A85" s="126">
        <v>73</v>
      </c>
      <c r="B85" s="183">
        <v>7.3</v>
      </c>
      <c r="C85" s="163">
        <v>4</v>
      </c>
      <c r="D85" s="163">
        <v>4</v>
      </c>
      <c r="E85" s="163">
        <v>4</v>
      </c>
      <c r="F85" s="431">
        <f t="shared" si="2"/>
        <v>4</v>
      </c>
      <c r="G85" s="431">
        <f>F10_form_validator!H79</f>
        <v>3</v>
      </c>
      <c r="H85" s="431">
        <f>F10_form_validator!J79</f>
        <v>3.5</v>
      </c>
      <c r="I85" s="499">
        <v>0</v>
      </c>
      <c r="J85" s="171"/>
      <c r="L85" s="433">
        <v>1.3289036544850499</v>
      </c>
      <c r="M85" s="434">
        <f t="shared" si="3"/>
        <v>5.3156146179401995</v>
      </c>
      <c r="N85" s="435">
        <v>4</v>
      </c>
    </row>
    <row r="86" spans="1:14" s="30" customFormat="1" ht="15.75" x14ac:dyDescent="0.25">
      <c r="A86" s="126">
        <v>74</v>
      </c>
      <c r="B86" s="183" t="s">
        <v>165</v>
      </c>
      <c r="C86" s="163">
        <v>4</v>
      </c>
      <c r="D86" s="163">
        <v>4</v>
      </c>
      <c r="E86" s="163">
        <v>4</v>
      </c>
      <c r="F86" s="431">
        <f t="shared" si="2"/>
        <v>4</v>
      </c>
      <c r="G86" s="431">
        <f>F10_form_validator!H80</f>
        <v>3</v>
      </c>
      <c r="H86" s="431">
        <f>F10_form_validator!J80</f>
        <v>3.5</v>
      </c>
      <c r="I86" s="499">
        <v>0</v>
      </c>
      <c r="J86" s="171"/>
      <c r="L86" s="433">
        <v>1.3289036544850499</v>
      </c>
      <c r="M86" s="434">
        <f t="shared" si="3"/>
        <v>5.3156146179401995</v>
      </c>
      <c r="N86" s="435">
        <v>4</v>
      </c>
    </row>
    <row r="87" spans="1:14" s="30" customFormat="1" ht="16.5" thickBot="1" x14ac:dyDescent="0.3">
      <c r="A87" s="184">
        <v>75</v>
      </c>
      <c r="B87" s="185" t="s">
        <v>166</v>
      </c>
      <c r="C87" s="163">
        <v>4</v>
      </c>
      <c r="D87" s="163">
        <v>4</v>
      </c>
      <c r="E87" s="163">
        <v>4</v>
      </c>
      <c r="F87" s="436">
        <f t="shared" si="2"/>
        <v>4</v>
      </c>
      <c r="G87" s="431">
        <f>F10_form_validator!H81</f>
        <v>3</v>
      </c>
      <c r="H87" s="431">
        <f>F10_form_validator!J81</f>
        <v>3.5</v>
      </c>
      <c r="I87" s="514">
        <v>0</v>
      </c>
      <c r="J87" s="172"/>
      <c r="L87" s="437">
        <v>1.3289036544850499</v>
      </c>
      <c r="M87" s="438">
        <f t="shared" si="3"/>
        <v>5.3156146179401995</v>
      </c>
      <c r="N87" s="439">
        <v>4</v>
      </c>
    </row>
    <row r="88" spans="1:14" s="30" customFormat="1" ht="15.75" x14ac:dyDescent="0.25">
      <c r="A88" s="202"/>
      <c r="B88" s="202"/>
      <c r="C88" s="440"/>
      <c r="D88" s="441"/>
      <c r="E88" s="441"/>
      <c r="F88" s="440"/>
      <c r="G88" s="440"/>
      <c r="H88" s="440"/>
      <c r="I88" s="442"/>
      <c r="J88" s="442"/>
      <c r="L88" s="443"/>
      <c r="M88" s="444"/>
      <c r="N88" s="445"/>
    </row>
    <row r="89" spans="1:14" s="30" customFormat="1" ht="15.75" x14ac:dyDescent="0.25">
      <c r="A89" s="749" t="s">
        <v>229</v>
      </c>
      <c r="B89" s="750"/>
      <c r="C89" s="750"/>
      <c r="D89" s="61"/>
      <c r="E89" s="61"/>
      <c r="F89" s="32"/>
      <c r="G89" s="32"/>
      <c r="H89" s="32"/>
      <c r="L89" s="444">
        <f>SUM(L13:L87)</f>
        <v>99.999999999999943</v>
      </c>
      <c r="M89" s="444">
        <f>SUM(M13:M87)</f>
        <v>399.99999999999977</v>
      </c>
      <c r="N89" s="444">
        <f>SUM(N13:N87)</f>
        <v>300</v>
      </c>
    </row>
    <row r="90" spans="1:14" s="39" customFormat="1" ht="15.75" customHeight="1" x14ac:dyDescent="0.25">
      <c r="C90" s="42"/>
      <c r="D90" s="44"/>
      <c r="E90" s="44"/>
      <c r="F90" s="42"/>
      <c r="G90" s="42"/>
      <c r="H90" s="42"/>
      <c r="I90" s="98" t="s">
        <v>310</v>
      </c>
      <c r="J90" s="473"/>
      <c r="K90" s="473"/>
      <c r="L90" s="42"/>
    </row>
    <row r="91" spans="1:14" s="39" customFormat="1" ht="15.75" x14ac:dyDescent="0.25">
      <c r="A91" s="98"/>
      <c r="C91" s="42"/>
      <c r="D91" s="44"/>
      <c r="E91" s="44"/>
      <c r="F91" s="42"/>
      <c r="G91" s="42"/>
      <c r="H91" s="42"/>
      <c r="L91" s="42"/>
    </row>
    <row r="92" spans="1:14" s="39" customFormat="1" ht="15" customHeight="1" x14ac:dyDescent="0.25">
      <c r="A92" s="167"/>
      <c r="B92" s="167"/>
      <c r="C92" s="167"/>
      <c r="D92" s="44"/>
      <c r="E92" s="44"/>
      <c r="F92" s="42"/>
      <c r="G92" s="42"/>
      <c r="H92" s="42"/>
      <c r="I92" s="167" t="s">
        <v>90</v>
      </c>
      <c r="J92" s="173" t="s">
        <v>113</v>
      </c>
      <c r="L92" s="42"/>
    </row>
    <row r="93" spans="1:14" s="39" customFormat="1" x14ac:dyDescent="0.25">
      <c r="A93" s="167"/>
      <c r="B93" s="167"/>
      <c r="C93" s="167"/>
      <c r="D93" s="44"/>
      <c r="E93" s="44"/>
      <c r="F93" s="42"/>
      <c r="G93" s="42"/>
      <c r="H93" s="42"/>
      <c r="I93" s="167"/>
      <c r="L93" s="42"/>
    </row>
    <row r="94" spans="1:14" s="39" customFormat="1" x14ac:dyDescent="0.25">
      <c r="A94" s="167"/>
      <c r="B94" s="167"/>
      <c r="C94" s="167"/>
      <c r="D94" s="44"/>
      <c r="E94" s="44"/>
      <c r="F94" s="42"/>
      <c r="G94" s="42"/>
      <c r="H94" s="42"/>
      <c r="I94" s="167" t="s">
        <v>241</v>
      </c>
      <c r="L94" s="42"/>
    </row>
    <row r="95" spans="1:14" s="39" customFormat="1" ht="18" customHeight="1" x14ac:dyDescent="0.25">
      <c r="A95" s="167"/>
      <c r="B95" s="167"/>
      <c r="C95" s="167"/>
      <c r="D95" s="167"/>
      <c r="E95" s="167"/>
      <c r="F95" s="42"/>
      <c r="G95" s="42"/>
      <c r="H95" s="42"/>
      <c r="I95" s="167"/>
      <c r="J95" s="167"/>
      <c r="K95" s="167"/>
      <c r="L95" s="167"/>
    </row>
    <row r="96" spans="1:14" s="39" customFormat="1" x14ac:dyDescent="0.25">
      <c r="A96" s="167"/>
      <c r="B96" s="167"/>
      <c r="C96" s="167"/>
      <c r="D96" s="44"/>
      <c r="E96" s="44"/>
      <c r="F96" s="167"/>
      <c r="G96" s="167"/>
      <c r="H96" s="167"/>
      <c r="I96" s="167" t="s">
        <v>242</v>
      </c>
      <c r="L96" s="42"/>
    </row>
    <row r="97" spans="1:12" s="39" customFormat="1" ht="15.75" x14ac:dyDescent="0.25">
      <c r="A97" s="98"/>
      <c r="C97" s="42"/>
      <c r="D97" s="44"/>
      <c r="E97" s="44"/>
      <c r="F97" s="42"/>
      <c r="G97" s="42"/>
      <c r="H97" s="42"/>
      <c r="I97" s="167"/>
      <c r="L97" s="42"/>
    </row>
    <row r="98" spans="1:12" s="39" customFormat="1" ht="15.75" x14ac:dyDescent="0.25">
      <c r="A98" s="98"/>
      <c r="C98" s="42"/>
      <c r="D98" s="44"/>
      <c r="E98" s="44"/>
      <c r="F98" s="42"/>
      <c r="G98" s="42"/>
      <c r="H98" s="42"/>
      <c r="I98" s="167" t="s">
        <v>243</v>
      </c>
      <c r="L98" s="42"/>
    </row>
    <row r="99" spans="1:12" s="39" customFormat="1" x14ac:dyDescent="0.25">
      <c r="C99" s="42"/>
      <c r="D99" s="44"/>
      <c r="E99" s="44"/>
      <c r="F99" s="42"/>
      <c r="G99" s="42"/>
      <c r="H99" s="42"/>
      <c r="I99" s="167"/>
      <c r="L99" s="42"/>
    </row>
    <row r="100" spans="1:12" s="39" customFormat="1" x14ac:dyDescent="0.25">
      <c r="C100" s="42"/>
      <c r="D100" s="44"/>
      <c r="E100" s="44"/>
      <c r="F100" s="42"/>
      <c r="G100" s="42"/>
      <c r="H100" s="42"/>
      <c r="I100" s="167"/>
      <c r="L100" s="42"/>
    </row>
    <row r="101" spans="1:12" s="39" customFormat="1" x14ac:dyDescent="0.25">
      <c r="C101" s="42"/>
      <c r="D101" s="44"/>
      <c r="E101" s="44"/>
      <c r="F101" s="42"/>
      <c r="G101" s="42"/>
      <c r="H101" s="42"/>
      <c r="I101" s="167"/>
      <c r="L101" s="42"/>
    </row>
    <row r="102" spans="1:12" s="39" customFormat="1" x14ac:dyDescent="0.25">
      <c r="C102" s="42"/>
      <c r="D102" s="44"/>
      <c r="E102" s="44"/>
      <c r="F102" s="42"/>
      <c r="G102" s="42"/>
      <c r="H102" s="42"/>
      <c r="I102" s="167"/>
      <c r="L102" s="42"/>
    </row>
    <row r="103" spans="1:12" s="39" customFormat="1" x14ac:dyDescent="0.25">
      <c r="C103" s="42"/>
      <c r="D103" s="44"/>
      <c r="E103" s="44"/>
      <c r="F103" s="42"/>
      <c r="G103" s="42"/>
      <c r="H103" s="42"/>
      <c r="I103" s="167"/>
      <c r="L103" s="42"/>
    </row>
    <row r="104" spans="1:12" s="39" customFormat="1" x14ac:dyDescent="0.25">
      <c r="C104" s="42"/>
      <c r="D104" s="44"/>
      <c r="E104" s="44"/>
      <c r="F104" s="42"/>
      <c r="G104" s="42"/>
      <c r="H104" s="42"/>
      <c r="I104" s="167"/>
      <c r="L104" s="42"/>
    </row>
    <row r="105" spans="1:12" s="39" customFormat="1" x14ac:dyDescent="0.25">
      <c r="C105" s="42"/>
      <c r="D105" s="44"/>
      <c r="E105" s="44"/>
      <c r="F105" s="42"/>
      <c r="G105" s="42"/>
      <c r="H105" s="42"/>
      <c r="L105" s="42"/>
    </row>
    <row r="106" spans="1:12" s="39" customFormat="1" x14ac:dyDescent="0.25">
      <c r="C106" s="42"/>
      <c r="D106" s="44"/>
      <c r="E106" s="44"/>
      <c r="F106" s="42"/>
      <c r="G106" s="42"/>
      <c r="H106" s="42"/>
      <c r="L106" s="42"/>
    </row>
    <row r="107" spans="1:12" s="39" customFormat="1" x14ac:dyDescent="0.25">
      <c r="C107" s="42"/>
      <c r="D107" s="44"/>
      <c r="E107" s="44"/>
      <c r="F107" s="42"/>
      <c r="G107" s="42"/>
      <c r="H107" s="42"/>
      <c r="L107" s="42"/>
    </row>
    <row r="108" spans="1:12" s="39" customFormat="1" x14ac:dyDescent="0.25">
      <c r="C108" s="42"/>
      <c r="D108" s="44"/>
      <c r="E108" s="44"/>
      <c r="F108" s="42"/>
      <c r="G108" s="42"/>
      <c r="H108" s="42"/>
      <c r="L108" s="42"/>
    </row>
    <row r="109" spans="1:12" s="39" customFormat="1" x14ac:dyDescent="0.25">
      <c r="C109" s="42"/>
      <c r="D109" s="44"/>
      <c r="E109" s="44"/>
      <c r="F109" s="42"/>
      <c r="G109" s="42"/>
      <c r="H109" s="42"/>
      <c r="L109" s="42"/>
    </row>
  </sheetData>
  <sheetProtection formatCells="0" formatColumns="0" formatRows="0"/>
  <mergeCells count="14">
    <mergeCell ref="N10:N12"/>
    <mergeCell ref="A89:C89"/>
    <mergeCell ref="A10:A12"/>
    <mergeCell ref="B10:B12"/>
    <mergeCell ref="C10:F10"/>
    <mergeCell ref="I10:I12"/>
    <mergeCell ref="J10:J12"/>
    <mergeCell ref="L10:M10"/>
    <mergeCell ref="A9:J9"/>
    <mergeCell ref="A1:J1"/>
    <mergeCell ref="A3:D3"/>
    <mergeCell ref="A4:D4"/>
    <mergeCell ref="A5:D5"/>
    <mergeCell ref="A6:D6"/>
  </mergeCells>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workbookViewId="0">
      <selection activeCell="H4" sqref="H4:L4"/>
    </sheetView>
  </sheetViews>
  <sheetFormatPr defaultRowHeight="15" x14ac:dyDescent="0.25"/>
  <cols>
    <col min="1" max="1" width="5.85546875" style="39" customWidth="1"/>
    <col min="2" max="2" width="20.140625" style="39" customWidth="1"/>
    <col min="3" max="5" width="6.85546875" style="44" customWidth="1"/>
    <col min="6" max="6" width="7.85546875" style="174" customWidth="1"/>
    <col min="7" max="8" width="13.7109375" style="174" customWidth="1"/>
    <col min="9" max="9" width="29" style="39" customWidth="1"/>
    <col min="10" max="10" width="17.140625" style="39" customWidth="1"/>
    <col min="11" max="11" width="6.5703125" style="15" customWidth="1"/>
    <col min="12" max="12" width="9.140625" style="15" customWidth="1"/>
    <col min="13" max="13" width="13.7109375" style="15" customWidth="1"/>
    <col min="14" max="14" width="10" style="15" customWidth="1"/>
    <col min="15" max="16384" width="9.140625" style="15"/>
  </cols>
  <sheetData>
    <row r="1" spans="1:19" s="39" customFormat="1" ht="33.75" customHeight="1" x14ac:dyDescent="0.25">
      <c r="A1" s="722" t="s">
        <v>981</v>
      </c>
      <c r="B1" s="722"/>
      <c r="C1" s="722"/>
      <c r="D1" s="722"/>
      <c r="E1" s="722"/>
      <c r="F1" s="722"/>
      <c r="G1" s="722"/>
      <c r="H1" s="722"/>
      <c r="I1" s="722"/>
      <c r="J1" s="722"/>
    </row>
    <row r="2" spans="1:19" s="39" customFormat="1" ht="15.75" x14ac:dyDescent="0.25">
      <c r="A2" s="168"/>
      <c r="C2" s="44"/>
      <c r="D2" s="44"/>
      <c r="E2" s="44"/>
      <c r="F2" s="174"/>
      <c r="G2" s="174"/>
      <c r="H2" s="174"/>
    </row>
    <row r="3" spans="1:19" s="39" customFormat="1" ht="15.75" x14ac:dyDescent="0.25">
      <c r="A3" s="644" t="s">
        <v>35</v>
      </c>
      <c r="B3" s="644"/>
      <c r="C3" s="644"/>
      <c r="D3" s="478" t="str">
        <f>'F6'!E3</f>
        <v>: &lt;Isi Nama PT&gt;</v>
      </c>
      <c r="E3" s="46"/>
      <c r="F3" s="174"/>
      <c r="G3" s="174"/>
      <c r="H3" s="174"/>
    </row>
    <row r="4" spans="1:19" s="39" customFormat="1" ht="15.75" x14ac:dyDescent="0.25">
      <c r="A4" s="644" t="s">
        <v>36</v>
      </c>
      <c r="B4" s="644"/>
      <c r="C4" s="644"/>
      <c r="D4" s="478" t="str">
        <f>'F6'!E4</f>
        <v>: &lt;Isi Nama Fakultas&gt;</v>
      </c>
      <c r="E4" s="47"/>
      <c r="F4" s="174"/>
      <c r="G4" s="174"/>
      <c r="H4" s="174"/>
    </row>
    <row r="5" spans="1:19" s="39" customFormat="1" ht="15.75" x14ac:dyDescent="0.25">
      <c r="A5" s="644" t="s">
        <v>37</v>
      </c>
      <c r="B5" s="644"/>
      <c r="C5" s="644"/>
      <c r="D5" s="478" t="str">
        <f>'F6'!E5</f>
        <v>: &lt;Isi Nama PS&gt;</v>
      </c>
      <c r="E5" s="47"/>
      <c r="F5" s="174"/>
      <c r="G5" s="174"/>
      <c r="H5" s="174"/>
    </row>
    <row r="6" spans="1:19" s="39" customFormat="1" ht="15.75" x14ac:dyDescent="0.25">
      <c r="A6" s="771" t="s">
        <v>307</v>
      </c>
      <c r="B6" s="771"/>
      <c r="C6" s="771"/>
      <c r="D6" s="478" t="s">
        <v>308</v>
      </c>
      <c r="E6" s="47"/>
      <c r="F6" s="174"/>
      <c r="G6" s="174"/>
      <c r="H6" s="174"/>
    </row>
    <row r="7" spans="1:19" s="39" customFormat="1" x14ac:dyDescent="0.25">
      <c r="A7" s="478" t="s">
        <v>244</v>
      </c>
      <c r="B7" s="478"/>
      <c r="C7" s="478"/>
      <c r="D7" s="169">
        <v>3</v>
      </c>
      <c r="E7" s="478" t="s">
        <v>247</v>
      </c>
      <c r="F7" s="42"/>
      <c r="G7" s="42"/>
      <c r="H7" s="42"/>
      <c r="L7" s="42"/>
    </row>
    <row r="8" spans="1:19" s="39" customFormat="1" x14ac:dyDescent="0.25">
      <c r="A8" s="478"/>
      <c r="B8" s="478"/>
      <c r="C8" s="478"/>
      <c r="D8" s="170"/>
      <c r="E8" s="478"/>
      <c r="F8" s="42"/>
      <c r="G8" s="42"/>
      <c r="H8" s="42"/>
      <c r="L8" s="42"/>
    </row>
    <row r="9" spans="1:19" s="39" customFormat="1" ht="15.75" x14ac:dyDescent="0.25">
      <c r="A9" s="94" t="s">
        <v>96</v>
      </c>
      <c r="B9" s="473"/>
      <c r="C9" s="473"/>
      <c r="D9" s="473"/>
      <c r="E9" s="473"/>
      <c r="F9" s="473"/>
      <c r="G9" s="473"/>
      <c r="H9" s="473"/>
      <c r="I9" s="473"/>
      <c r="J9" s="473"/>
      <c r="K9" s="473"/>
      <c r="L9" s="473"/>
      <c r="M9" s="473"/>
      <c r="N9" s="473"/>
      <c r="O9" s="473"/>
      <c r="P9" s="473"/>
      <c r="Q9" s="473"/>
      <c r="R9" s="473"/>
      <c r="S9" s="473"/>
    </row>
    <row r="10" spans="1:19" s="39" customFormat="1" ht="16.5" thickBot="1" x14ac:dyDescent="0.3">
      <c r="A10" s="94" t="s">
        <v>97</v>
      </c>
      <c r="B10" s="473"/>
      <c r="C10" s="473"/>
      <c r="D10" s="473"/>
      <c r="E10" s="473"/>
      <c r="F10" s="473"/>
      <c r="G10" s="473"/>
      <c r="H10" s="473"/>
      <c r="I10" s="473"/>
      <c r="J10" s="473"/>
      <c r="K10" s="473"/>
      <c r="L10" s="473"/>
    </row>
    <row r="11" spans="1:19" s="30" customFormat="1" ht="33" customHeight="1" x14ac:dyDescent="0.25">
      <c r="A11" s="756" t="s">
        <v>1</v>
      </c>
      <c r="B11" s="759" t="s">
        <v>3</v>
      </c>
      <c r="C11" s="759" t="s">
        <v>39</v>
      </c>
      <c r="D11" s="759"/>
      <c r="E11" s="759"/>
      <c r="F11" s="759"/>
      <c r="G11" s="475"/>
      <c r="H11" s="475"/>
      <c r="I11" s="759" t="s">
        <v>98</v>
      </c>
      <c r="J11" s="763" t="s">
        <v>95</v>
      </c>
      <c r="L11" s="768" t="s">
        <v>977</v>
      </c>
      <c r="M11" s="769"/>
      <c r="N11" s="770" t="s">
        <v>111</v>
      </c>
    </row>
    <row r="12" spans="1:19" s="30" customFormat="1" ht="44.25" customHeight="1" thickBot="1" x14ac:dyDescent="0.3">
      <c r="A12" s="758"/>
      <c r="B12" s="761"/>
      <c r="C12" s="477" t="s">
        <v>40</v>
      </c>
      <c r="D12" s="477" t="s">
        <v>41</v>
      </c>
      <c r="E12" s="477" t="s">
        <v>245</v>
      </c>
      <c r="F12" s="477" t="s">
        <v>42</v>
      </c>
      <c r="G12" s="477" t="s">
        <v>1092</v>
      </c>
      <c r="H12" s="485" t="s">
        <v>1093</v>
      </c>
      <c r="I12" s="762"/>
      <c r="J12" s="765"/>
      <c r="K12" s="486"/>
      <c r="L12" s="515" t="s">
        <v>5</v>
      </c>
      <c r="M12" s="485" t="s">
        <v>110</v>
      </c>
      <c r="N12" s="755"/>
      <c r="O12" s="486"/>
    </row>
    <row r="13" spans="1:19" s="30" customFormat="1" ht="102.75" customHeight="1" x14ac:dyDescent="0.25">
      <c r="A13" s="143">
        <v>1</v>
      </c>
      <c r="B13" s="405" t="s">
        <v>43</v>
      </c>
      <c r="C13" s="351"/>
      <c r="D13" s="351"/>
      <c r="E13" s="351"/>
      <c r="F13" s="447"/>
      <c r="G13" s="447"/>
      <c r="H13" s="516"/>
      <c r="I13" s="517"/>
      <c r="J13" s="518"/>
      <c r="K13" s="486"/>
      <c r="L13" s="519"/>
      <c r="M13" s="520"/>
      <c r="N13" s="521"/>
      <c r="O13" s="486"/>
    </row>
    <row r="14" spans="1:19" s="30" customFormat="1" ht="157.5" x14ac:dyDescent="0.25">
      <c r="A14" s="145" t="s">
        <v>44</v>
      </c>
      <c r="B14" s="407" t="s">
        <v>45</v>
      </c>
      <c r="C14" s="338">
        <v>4</v>
      </c>
      <c r="D14" s="338">
        <v>4</v>
      </c>
      <c r="E14" s="338">
        <v>4</v>
      </c>
      <c r="F14" s="252">
        <f>SUM(C14:E14)/$D$7</f>
        <v>4</v>
      </c>
      <c r="G14" s="252">
        <f>F11_form_validator!G13</f>
        <v>3</v>
      </c>
      <c r="H14" s="522">
        <f>F11_form_validator!I13</f>
        <v>3.5</v>
      </c>
      <c r="I14" s="523">
        <v>0</v>
      </c>
      <c r="J14" s="524"/>
      <c r="K14" s="486"/>
      <c r="L14" s="525">
        <v>12.5</v>
      </c>
      <c r="M14" s="526">
        <f>F14*L14</f>
        <v>50</v>
      </c>
      <c r="N14" s="527">
        <v>4</v>
      </c>
      <c r="O14" s="486"/>
    </row>
    <row r="15" spans="1:19" s="30" customFormat="1" ht="129.75" customHeight="1" x14ac:dyDescent="0.25">
      <c r="A15" s="145" t="s">
        <v>46</v>
      </c>
      <c r="B15" s="407" t="s">
        <v>47</v>
      </c>
      <c r="C15" s="338">
        <v>4</v>
      </c>
      <c r="D15" s="338">
        <v>4</v>
      </c>
      <c r="E15" s="338">
        <v>4</v>
      </c>
      <c r="F15" s="252">
        <f t="shared" ref="F15:F27" si="0">SUM(C15:E15)/$D$7</f>
        <v>4</v>
      </c>
      <c r="G15" s="252">
        <f>F11_form_validator!G14</f>
        <v>3</v>
      </c>
      <c r="H15" s="522">
        <f>F11_form_validator!I14</f>
        <v>3.5</v>
      </c>
      <c r="I15" s="523">
        <v>0</v>
      </c>
      <c r="J15" s="524"/>
      <c r="K15" s="486"/>
      <c r="L15" s="525">
        <v>12.5</v>
      </c>
      <c r="M15" s="526">
        <f>F15*L15</f>
        <v>50</v>
      </c>
      <c r="N15" s="527">
        <v>4</v>
      </c>
      <c r="O15" s="486"/>
    </row>
    <row r="16" spans="1:19" s="30" customFormat="1" ht="96" customHeight="1" x14ac:dyDescent="0.25">
      <c r="A16" s="147">
        <v>2</v>
      </c>
      <c r="B16" s="413" t="s">
        <v>48</v>
      </c>
      <c r="C16" s="366"/>
      <c r="D16" s="366"/>
      <c r="E16" s="366"/>
      <c r="F16" s="450"/>
      <c r="G16" s="450"/>
      <c r="H16" s="528"/>
      <c r="I16" s="517"/>
      <c r="J16" s="518"/>
      <c r="K16" s="486"/>
      <c r="L16" s="525"/>
      <c r="M16" s="526"/>
      <c r="N16" s="527"/>
      <c r="O16" s="486"/>
    </row>
    <row r="17" spans="1:15" s="30" customFormat="1" ht="80.25" customHeight="1" x14ac:dyDescent="0.25">
      <c r="A17" s="416" t="s">
        <v>44</v>
      </c>
      <c r="B17" s="146" t="s">
        <v>49</v>
      </c>
      <c r="C17" s="338">
        <v>4</v>
      </c>
      <c r="D17" s="338">
        <v>4</v>
      </c>
      <c r="E17" s="338">
        <v>4</v>
      </c>
      <c r="F17" s="252">
        <f t="shared" si="0"/>
        <v>4</v>
      </c>
      <c r="G17" s="252">
        <f>F11_form_validator!G16</f>
        <v>3</v>
      </c>
      <c r="H17" s="522">
        <f>F11_form_validator!I16</f>
        <v>3.5</v>
      </c>
      <c r="I17" s="523">
        <v>0</v>
      </c>
      <c r="J17" s="529"/>
      <c r="K17" s="486"/>
      <c r="L17" s="525">
        <v>7.5</v>
      </c>
      <c r="M17" s="526">
        <f>F17*L17</f>
        <v>30</v>
      </c>
      <c r="N17" s="527">
        <v>4</v>
      </c>
      <c r="O17" s="486"/>
    </row>
    <row r="18" spans="1:15" s="30" customFormat="1" ht="99" customHeight="1" x14ac:dyDescent="0.25">
      <c r="A18" s="145" t="s">
        <v>46</v>
      </c>
      <c r="B18" s="407" t="s">
        <v>50</v>
      </c>
      <c r="C18" s="338">
        <v>4</v>
      </c>
      <c r="D18" s="338">
        <v>4</v>
      </c>
      <c r="E18" s="338">
        <v>4</v>
      </c>
      <c r="F18" s="252">
        <f t="shared" si="0"/>
        <v>4</v>
      </c>
      <c r="G18" s="252">
        <f>F11_form_validator!G17</f>
        <v>3</v>
      </c>
      <c r="H18" s="522">
        <f>F11_form_validator!I17</f>
        <v>3.5</v>
      </c>
      <c r="I18" s="523">
        <v>0</v>
      </c>
      <c r="J18" s="524"/>
      <c r="K18" s="486"/>
      <c r="L18" s="525">
        <v>7.5</v>
      </c>
      <c r="M18" s="526">
        <f>F18*L18</f>
        <v>30</v>
      </c>
      <c r="N18" s="527">
        <v>4</v>
      </c>
      <c r="O18" s="486"/>
    </row>
    <row r="19" spans="1:15" s="30" customFormat="1" ht="52.5" customHeight="1" x14ac:dyDescent="0.25">
      <c r="A19" s="145" t="s">
        <v>51</v>
      </c>
      <c r="B19" s="146" t="s">
        <v>52</v>
      </c>
      <c r="C19" s="338">
        <v>4</v>
      </c>
      <c r="D19" s="338">
        <v>4</v>
      </c>
      <c r="E19" s="338">
        <v>4</v>
      </c>
      <c r="F19" s="252">
        <f t="shared" si="0"/>
        <v>4</v>
      </c>
      <c r="G19" s="252">
        <f>F11_form_validator!G18</f>
        <v>3</v>
      </c>
      <c r="H19" s="252">
        <f>F11_form_validator!I18</f>
        <v>3.5</v>
      </c>
      <c r="I19" s="408">
        <v>0</v>
      </c>
      <c r="J19" s="177"/>
      <c r="L19" s="411">
        <v>7.5</v>
      </c>
      <c r="M19" s="449">
        <f>F19*L19</f>
        <v>30</v>
      </c>
      <c r="N19" s="412">
        <v>4</v>
      </c>
    </row>
    <row r="20" spans="1:15" s="30" customFormat="1" ht="102.75" customHeight="1" x14ac:dyDescent="0.25">
      <c r="A20" s="145" t="s">
        <v>53</v>
      </c>
      <c r="B20" s="407" t="s">
        <v>54</v>
      </c>
      <c r="C20" s="338">
        <v>4</v>
      </c>
      <c r="D20" s="338">
        <v>4</v>
      </c>
      <c r="E20" s="338">
        <v>4</v>
      </c>
      <c r="F20" s="252">
        <f t="shared" si="0"/>
        <v>4</v>
      </c>
      <c r="G20" s="252">
        <f>F11_form_validator!G19</f>
        <v>3</v>
      </c>
      <c r="H20" s="252">
        <f>F11_form_validator!I19</f>
        <v>3.5</v>
      </c>
      <c r="I20" s="408">
        <v>0</v>
      </c>
      <c r="J20" s="176"/>
      <c r="L20" s="411">
        <v>7.5</v>
      </c>
      <c r="M20" s="449">
        <f>F20*L20</f>
        <v>30</v>
      </c>
      <c r="N20" s="412">
        <v>4</v>
      </c>
    </row>
    <row r="21" spans="1:15" s="30" customFormat="1" ht="49.5" customHeight="1" x14ac:dyDescent="0.25">
      <c r="A21" s="147">
        <v>3</v>
      </c>
      <c r="B21" s="413" t="s">
        <v>55</v>
      </c>
      <c r="C21" s="366"/>
      <c r="D21" s="366"/>
      <c r="E21" s="366"/>
      <c r="F21" s="450"/>
      <c r="G21" s="450"/>
      <c r="H21" s="450"/>
      <c r="I21" s="448"/>
      <c r="J21" s="367"/>
      <c r="L21" s="411"/>
      <c r="M21" s="449"/>
      <c r="N21" s="412"/>
    </row>
    <row r="22" spans="1:15" s="30" customFormat="1" ht="84.75" customHeight="1" x14ac:dyDescent="0.25">
      <c r="A22" s="416" t="s">
        <v>44</v>
      </c>
      <c r="B22" s="146" t="s">
        <v>56</v>
      </c>
      <c r="C22" s="338">
        <v>4</v>
      </c>
      <c r="D22" s="338">
        <v>4</v>
      </c>
      <c r="E22" s="338">
        <v>4</v>
      </c>
      <c r="F22" s="252">
        <f t="shared" si="0"/>
        <v>4</v>
      </c>
      <c r="G22" s="252">
        <f>F11_form_validator!G21</f>
        <v>3</v>
      </c>
      <c r="H22" s="530">
        <f>F11_form_validator!I21</f>
        <v>3.5</v>
      </c>
      <c r="I22" s="531">
        <v>0</v>
      </c>
      <c r="J22" s="532"/>
      <c r="K22" s="503"/>
      <c r="L22" s="533">
        <v>10</v>
      </c>
      <c r="M22" s="534">
        <f>F22*L22</f>
        <v>40</v>
      </c>
      <c r="N22" s="535">
        <v>4</v>
      </c>
      <c r="O22" s="503"/>
    </row>
    <row r="23" spans="1:15" s="30" customFormat="1" ht="81" customHeight="1" x14ac:dyDescent="0.25">
      <c r="A23" s="416" t="s">
        <v>46</v>
      </c>
      <c r="B23" s="146" t="s">
        <v>57</v>
      </c>
      <c r="C23" s="338">
        <v>4</v>
      </c>
      <c r="D23" s="338">
        <v>4</v>
      </c>
      <c r="E23" s="338">
        <v>4</v>
      </c>
      <c r="F23" s="252">
        <f t="shared" si="0"/>
        <v>4</v>
      </c>
      <c r="G23" s="252">
        <f>F11_form_validator!G22</f>
        <v>3</v>
      </c>
      <c r="H23" s="530">
        <f>F11_form_validator!I22</f>
        <v>3.5</v>
      </c>
      <c r="I23" s="531">
        <v>0</v>
      </c>
      <c r="J23" s="532"/>
      <c r="K23" s="503"/>
      <c r="L23" s="533">
        <v>5</v>
      </c>
      <c r="M23" s="534">
        <f>F23*L23</f>
        <v>20</v>
      </c>
      <c r="N23" s="535">
        <v>4</v>
      </c>
      <c r="O23" s="503"/>
    </row>
    <row r="24" spans="1:15" s="30" customFormat="1" ht="91.5" customHeight="1" x14ac:dyDescent="0.25">
      <c r="A24" s="416" t="s">
        <v>51</v>
      </c>
      <c r="B24" s="146" t="s">
        <v>58</v>
      </c>
      <c r="C24" s="338">
        <v>4</v>
      </c>
      <c r="D24" s="338">
        <v>4</v>
      </c>
      <c r="E24" s="338">
        <v>4</v>
      </c>
      <c r="F24" s="252">
        <f t="shared" si="0"/>
        <v>4</v>
      </c>
      <c r="G24" s="252">
        <f>F11_form_validator!G23</f>
        <v>3</v>
      </c>
      <c r="H24" s="530">
        <f>F11_form_validator!I23</f>
        <v>3.5</v>
      </c>
      <c r="I24" s="531">
        <v>0</v>
      </c>
      <c r="J24" s="532"/>
      <c r="K24" s="503"/>
      <c r="L24" s="533">
        <v>5</v>
      </c>
      <c r="M24" s="534">
        <f>F24*L24</f>
        <v>20</v>
      </c>
      <c r="N24" s="535">
        <v>4</v>
      </c>
      <c r="O24" s="503"/>
    </row>
    <row r="25" spans="1:15" s="30" customFormat="1" ht="63.75" customHeight="1" x14ac:dyDescent="0.25">
      <c r="A25" s="147">
        <v>4</v>
      </c>
      <c r="B25" s="413" t="s">
        <v>59</v>
      </c>
      <c r="C25" s="366"/>
      <c r="D25" s="366"/>
      <c r="E25" s="366"/>
      <c r="F25" s="450"/>
      <c r="G25" s="450"/>
      <c r="H25" s="536"/>
      <c r="I25" s="537"/>
      <c r="J25" s="538"/>
      <c r="K25" s="503"/>
      <c r="L25" s="533"/>
      <c r="M25" s="534"/>
      <c r="N25" s="535"/>
      <c r="O25" s="503"/>
    </row>
    <row r="26" spans="1:15" s="30" customFormat="1" ht="48" customHeight="1" x14ac:dyDescent="0.25">
      <c r="A26" s="416" t="s">
        <v>44</v>
      </c>
      <c r="B26" s="146" t="s">
        <v>60</v>
      </c>
      <c r="C26" s="338">
        <v>4</v>
      </c>
      <c r="D26" s="338">
        <v>4</v>
      </c>
      <c r="E26" s="338">
        <v>4</v>
      </c>
      <c r="F26" s="252">
        <f t="shared" si="0"/>
        <v>4</v>
      </c>
      <c r="G26" s="252">
        <f>F11_form_validator!G25</f>
        <v>3</v>
      </c>
      <c r="H26" s="530">
        <f>F11_form_validator!I25</f>
        <v>3.5</v>
      </c>
      <c r="I26" s="531">
        <v>0</v>
      </c>
      <c r="J26" s="532"/>
      <c r="K26" s="503"/>
      <c r="L26" s="533">
        <v>12.5</v>
      </c>
      <c r="M26" s="534">
        <f>F26*L26</f>
        <v>50</v>
      </c>
      <c r="N26" s="535">
        <v>4</v>
      </c>
      <c r="O26" s="503"/>
    </row>
    <row r="27" spans="1:15" s="30" customFormat="1" ht="95.25" customHeight="1" thickBot="1" x14ac:dyDescent="0.3">
      <c r="A27" s="417" t="s">
        <v>46</v>
      </c>
      <c r="B27" s="418" t="s">
        <v>61</v>
      </c>
      <c r="C27" s="338">
        <v>4</v>
      </c>
      <c r="D27" s="338">
        <v>4</v>
      </c>
      <c r="E27" s="338">
        <v>4</v>
      </c>
      <c r="F27" s="252">
        <f t="shared" si="0"/>
        <v>4</v>
      </c>
      <c r="G27" s="252">
        <f>F11_form_validator!G26</f>
        <v>3</v>
      </c>
      <c r="H27" s="530">
        <f>F11_form_validator!I26</f>
        <v>3.5</v>
      </c>
      <c r="I27" s="531">
        <v>0</v>
      </c>
      <c r="J27" s="539"/>
      <c r="K27" s="503"/>
      <c r="L27" s="540">
        <v>12.5</v>
      </c>
      <c r="M27" s="541">
        <f>F27*L27</f>
        <v>50</v>
      </c>
      <c r="N27" s="542">
        <v>4</v>
      </c>
      <c r="O27" s="503"/>
    </row>
    <row r="28" spans="1:15" s="30" customFormat="1" ht="15.75" customHeight="1" thickBot="1" x14ac:dyDescent="0.3">
      <c r="A28" s="419" t="s">
        <v>62</v>
      </c>
      <c r="B28" s="420"/>
      <c r="C28" s="110"/>
      <c r="D28" s="110"/>
      <c r="E28" s="110"/>
      <c r="F28" s="451">
        <f>SUM(F14:F27)</f>
        <v>44</v>
      </c>
      <c r="G28" s="252">
        <f>F11_form_validator!G27</f>
        <v>0</v>
      </c>
      <c r="H28" s="530">
        <f>F11_form_validator!I27</f>
        <v>0</v>
      </c>
      <c r="I28" s="537"/>
      <c r="J28" s="543"/>
      <c r="K28" s="503"/>
      <c r="L28" s="544">
        <f>SUM(L13:L27)</f>
        <v>100</v>
      </c>
      <c r="M28" s="545">
        <f t="shared" ref="M28:N28" si="1">SUM(M13:M27)</f>
        <v>400</v>
      </c>
      <c r="N28" s="544">
        <f t="shared" si="1"/>
        <v>44</v>
      </c>
      <c r="O28" s="503"/>
    </row>
    <row r="29" spans="1:15" s="30" customFormat="1" ht="15.75" customHeight="1" x14ac:dyDescent="0.25">
      <c r="A29" s="139" t="s">
        <v>63</v>
      </c>
      <c r="C29" s="61"/>
      <c r="D29" s="61"/>
      <c r="E29" s="61"/>
      <c r="F29" s="224"/>
      <c r="G29" s="224"/>
      <c r="H29" s="224"/>
    </row>
    <row r="30" spans="1:15" s="39" customFormat="1" ht="15.75" customHeight="1" x14ac:dyDescent="0.25">
      <c r="C30" s="44"/>
      <c r="D30" s="44"/>
      <c r="E30" s="44"/>
      <c r="F30" s="174"/>
      <c r="G30" s="174"/>
      <c r="H30" s="174"/>
      <c r="I30" s="478" t="str">
        <f>'F6'!I90</f>
        <v>...................., ... - ....- 2014</v>
      </c>
      <c r="J30" s="98"/>
      <c r="K30" s="98"/>
    </row>
    <row r="31" spans="1:15" s="39" customFormat="1" ht="15.75" x14ac:dyDescent="0.25">
      <c r="A31" s="98"/>
      <c r="C31" s="44"/>
      <c r="D31" s="44"/>
      <c r="E31" s="44"/>
      <c r="F31" s="174"/>
      <c r="G31" s="174"/>
      <c r="H31" s="174"/>
    </row>
    <row r="32" spans="1:15" s="39" customFormat="1" ht="15" customHeight="1" x14ac:dyDescent="0.25">
      <c r="A32" s="167"/>
      <c r="B32" s="178"/>
      <c r="C32" s="166"/>
      <c r="D32" s="167"/>
      <c r="E32" s="167"/>
      <c r="F32" s="167"/>
      <c r="G32" s="167"/>
      <c r="H32" s="546"/>
      <c r="I32" s="547" t="str">
        <f>'F6'!I92</f>
        <v>Asesor</v>
      </c>
      <c r="J32" s="547" t="str">
        <f>'F6'!J92</f>
        <v>Tanda Tangan</v>
      </c>
      <c r="K32" s="547"/>
      <c r="L32" s="547"/>
      <c r="M32" s="547"/>
      <c r="N32" s="547"/>
      <c r="O32" s="547"/>
    </row>
    <row r="33" spans="1:15" s="39" customFormat="1" ht="15.75" customHeight="1" x14ac:dyDescent="0.25">
      <c r="A33" s="167"/>
      <c r="B33" s="178"/>
      <c r="C33" s="166"/>
      <c r="D33" s="167"/>
      <c r="E33" s="167"/>
      <c r="F33" s="167"/>
      <c r="G33" s="167"/>
      <c r="H33" s="546"/>
      <c r="I33" s="547"/>
      <c r="J33" s="547"/>
      <c r="K33" s="547"/>
      <c r="L33" s="547"/>
      <c r="M33" s="547"/>
      <c r="N33" s="547"/>
      <c r="O33" s="547"/>
    </row>
    <row r="34" spans="1:15" s="39" customFormat="1" x14ac:dyDescent="0.25">
      <c r="A34" s="167"/>
      <c r="B34" s="178"/>
      <c r="C34" s="166"/>
      <c r="D34" s="167"/>
      <c r="E34" s="167"/>
      <c r="F34" s="167"/>
      <c r="G34" s="167"/>
      <c r="H34" s="546"/>
      <c r="I34" s="547" t="str">
        <f>'F6'!I94</f>
        <v>1. &lt;Nama Asesor 1&gt;</v>
      </c>
      <c r="J34" s="547"/>
      <c r="K34" s="547"/>
      <c r="L34" s="547"/>
      <c r="M34" s="547"/>
      <c r="N34" s="547"/>
      <c r="O34" s="547"/>
    </row>
    <row r="35" spans="1:15" s="39" customFormat="1" ht="15" customHeight="1" x14ac:dyDescent="0.25">
      <c r="A35" s="167"/>
      <c r="B35" s="167"/>
      <c r="C35" s="49"/>
      <c r="D35" s="167"/>
      <c r="E35" s="167"/>
      <c r="F35" s="167"/>
      <c r="G35" s="167"/>
      <c r="H35" s="546"/>
      <c r="I35" s="547"/>
      <c r="J35" s="547"/>
      <c r="K35" s="547"/>
      <c r="L35" s="547"/>
      <c r="M35" s="547"/>
      <c r="N35" s="547"/>
      <c r="O35" s="547"/>
    </row>
    <row r="36" spans="1:15" s="39" customFormat="1" ht="15.75" customHeight="1" x14ac:dyDescent="0.25">
      <c r="A36" s="167"/>
      <c r="B36" s="167"/>
      <c r="C36" s="49"/>
      <c r="D36" s="167"/>
      <c r="E36" s="167"/>
      <c r="F36" s="167"/>
      <c r="G36" s="167"/>
      <c r="H36" s="546"/>
      <c r="I36" s="547" t="str">
        <f>'F6'!I96</f>
        <v>2. &lt;Nama Asesor 2&gt;</v>
      </c>
      <c r="J36" s="547"/>
      <c r="K36" s="547"/>
      <c r="L36" s="547"/>
      <c r="M36" s="547"/>
      <c r="N36" s="547"/>
      <c r="O36" s="547"/>
    </row>
    <row r="37" spans="1:15" s="39" customFormat="1" ht="15" customHeight="1" x14ac:dyDescent="0.25">
      <c r="A37" s="60"/>
      <c r="B37" s="60"/>
      <c r="C37" s="55"/>
      <c r="D37" s="55"/>
      <c r="E37" s="55"/>
      <c r="F37" s="179"/>
      <c r="G37" s="179"/>
      <c r="H37" s="548"/>
      <c r="I37" s="547"/>
      <c r="J37" s="547"/>
      <c r="K37" s="547"/>
      <c r="L37" s="547"/>
      <c r="M37" s="547"/>
      <c r="N37" s="547"/>
      <c r="O37" s="547"/>
    </row>
    <row r="38" spans="1:15" s="39" customFormat="1" ht="15.75" customHeight="1" x14ac:dyDescent="0.25">
      <c r="A38" s="60"/>
      <c r="B38" s="180"/>
      <c r="C38" s="53"/>
      <c r="D38" s="53"/>
      <c r="E38" s="53"/>
      <c r="F38" s="181"/>
      <c r="G38" s="181"/>
      <c r="H38" s="549"/>
      <c r="I38" s="547" t="str">
        <f>'F6'!I98</f>
        <v>3. &lt;Nama Asesor 3&gt;</v>
      </c>
      <c r="J38" s="547"/>
      <c r="K38" s="547"/>
      <c r="L38" s="547"/>
      <c r="M38" s="547"/>
      <c r="N38" s="547"/>
      <c r="O38" s="547"/>
    </row>
    <row r="39" spans="1:15" s="39" customFormat="1" ht="15.75" customHeight="1" x14ac:dyDescent="0.25">
      <c r="A39" s="182"/>
      <c r="B39" s="182"/>
      <c r="C39" s="53"/>
      <c r="D39" s="53"/>
      <c r="E39" s="53"/>
      <c r="F39" s="181"/>
      <c r="G39" s="181"/>
      <c r="H39" s="181"/>
      <c r="I39" s="173"/>
      <c r="J39" s="173"/>
    </row>
    <row r="40" spans="1:15" s="39" customFormat="1" ht="15.75" x14ac:dyDescent="0.25">
      <c r="C40" s="44"/>
      <c r="D40" s="44"/>
      <c r="E40" s="44"/>
      <c r="F40" s="174"/>
      <c r="G40" s="174"/>
      <c r="H40" s="174"/>
      <c r="I40" s="173"/>
      <c r="J40" s="173"/>
    </row>
    <row r="41" spans="1:15" s="39" customFormat="1" ht="15.75" x14ac:dyDescent="0.25">
      <c r="C41" s="44"/>
      <c r="D41" s="44"/>
      <c r="E41" s="44"/>
      <c r="F41" s="174"/>
      <c r="G41" s="174"/>
      <c r="H41" s="174"/>
      <c r="I41" s="173"/>
      <c r="J41" s="173"/>
    </row>
    <row r="42" spans="1:15" s="39" customFormat="1" ht="15.75" x14ac:dyDescent="0.25">
      <c r="C42" s="44"/>
      <c r="D42" s="44"/>
      <c r="E42" s="44"/>
      <c r="F42" s="174"/>
      <c r="G42" s="174"/>
      <c r="H42" s="174"/>
      <c r="I42" s="173"/>
      <c r="J42" s="173"/>
    </row>
    <row r="43" spans="1:15" s="39" customFormat="1" ht="15.75" x14ac:dyDescent="0.25">
      <c r="C43" s="44"/>
      <c r="D43" s="44"/>
      <c r="E43" s="44"/>
      <c r="F43" s="174"/>
      <c r="G43" s="174"/>
      <c r="H43" s="174"/>
      <c r="I43" s="173"/>
      <c r="J43" s="173"/>
    </row>
    <row r="44" spans="1:15" s="39" customFormat="1" ht="15.75" x14ac:dyDescent="0.25">
      <c r="C44" s="44"/>
      <c r="D44" s="44"/>
      <c r="E44" s="44"/>
      <c r="F44" s="174"/>
      <c r="G44" s="174"/>
      <c r="H44" s="174"/>
      <c r="I44" s="173"/>
      <c r="J44" s="173"/>
    </row>
    <row r="45" spans="1:15" s="39" customFormat="1" ht="15" customHeight="1" x14ac:dyDescent="0.25">
      <c r="C45" s="44"/>
      <c r="D45" s="44"/>
      <c r="E45" s="44"/>
      <c r="F45" s="174"/>
      <c r="G45" s="174"/>
      <c r="H45" s="174"/>
    </row>
    <row r="46" spans="1:15" s="39" customFormat="1" x14ac:dyDescent="0.25">
      <c r="C46" s="44"/>
      <c r="D46" s="44"/>
      <c r="E46" s="44"/>
      <c r="F46" s="174"/>
      <c r="G46" s="174"/>
      <c r="H46" s="174"/>
    </row>
    <row r="47" spans="1:15" s="39" customFormat="1" x14ac:dyDescent="0.25">
      <c r="C47" s="44"/>
      <c r="D47" s="44"/>
      <c r="E47" s="44"/>
      <c r="F47" s="174"/>
      <c r="G47" s="174"/>
      <c r="H47" s="174"/>
    </row>
    <row r="48" spans="1:15" s="39" customFormat="1" ht="30" customHeight="1" x14ac:dyDescent="0.25">
      <c r="C48" s="44"/>
      <c r="D48" s="44"/>
      <c r="E48" s="44"/>
      <c r="F48" s="174"/>
      <c r="G48" s="174"/>
      <c r="H48" s="174"/>
    </row>
    <row r="49" spans="1:8" s="39" customFormat="1" x14ac:dyDescent="0.25">
      <c r="C49" s="44"/>
      <c r="D49" s="44"/>
      <c r="E49" s="44"/>
      <c r="F49" s="174"/>
      <c r="G49" s="174"/>
      <c r="H49" s="174"/>
    </row>
    <row r="50" spans="1:8" s="39" customFormat="1" ht="15.75" x14ac:dyDescent="0.25">
      <c r="A50" s="98"/>
      <c r="C50" s="44"/>
      <c r="D50" s="44"/>
      <c r="E50" s="44"/>
      <c r="F50" s="174"/>
      <c r="G50" s="174"/>
      <c r="H50" s="174"/>
    </row>
    <row r="52" spans="1:8" ht="15.75" x14ac:dyDescent="0.25">
      <c r="A52" s="479"/>
    </row>
  </sheetData>
  <sheetProtection formatCells="0" formatColumns="0" formatRows="0"/>
  <mergeCells count="12">
    <mergeCell ref="L11:M11"/>
    <mergeCell ref="N11:N12"/>
    <mergeCell ref="A1:J1"/>
    <mergeCell ref="A3:C3"/>
    <mergeCell ref="A4:C4"/>
    <mergeCell ref="A5:C5"/>
    <mergeCell ref="A6:C6"/>
    <mergeCell ref="A11:A12"/>
    <mergeCell ref="B11:B12"/>
    <mergeCell ref="C11:F11"/>
    <mergeCell ref="I11:I12"/>
    <mergeCell ref="J11:J12"/>
  </mergeCells>
  <pageMargins left="0.70866141732283472" right="0.70866141732283472" top="0.74803149606299213" bottom="0.74803149606299213"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24</vt:i4>
      </vt:variant>
    </vt:vector>
  </HeadingPairs>
  <TitlesOfParts>
    <vt:vector size="39" baseType="lpstr">
      <vt:lpstr>F1</vt:lpstr>
      <vt:lpstr>hitung_F1</vt:lpstr>
      <vt:lpstr>F2</vt:lpstr>
      <vt:lpstr>F3</vt:lpstr>
      <vt:lpstr>hitung_F3</vt:lpstr>
      <vt:lpstr>F4</vt:lpstr>
      <vt:lpstr>F5</vt:lpstr>
      <vt:lpstr>F6</vt:lpstr>
      <vt:lpstr>F7</vt:lpstr>
      <vt:lpstr>F8</vt:lpstr>
      <vt:lpstr>F9</vt:lpstr>
      <vt:lpstr>Rekap_Nilai_Akreditasi</vt:lpstr>
      <vt:lpstr>F10_form_validator</vt:lpstr>
      <vt:lpstr>F11_form_validator</vt:lpstr>
      <vt:lpstr>F12_form_validator</vt:lpstr>
      <vt:lpstr>'F2'!_Toc206868236</vt:lpstr>
      <vt:lpstr>'F1'!Print_Area</vt:lpstr>
      <vt:lpstr>F10_form_validator!Print_Area</vt:lpstr>
      <vt:lpstr>F11_form_validator!Print_Area</vt:lpstr>
      <vt:lpstr>F12_form_validator!Print_Area</vt:lpstr>
      <vt:lpstr>'F2'!Print_Area</vt:lpstr>
      <vt:lpstr>'F3'!Print_Area</vt:lpstr>
      <vt:lpstr>'F4'!Print_Area</vt:lpstr>
      <vt:lpstr>'F5'!Print_Area</vt:lpstr>
      <vt:lpstr>'F6'!Print_Area</vt:lpstr>
      <vt:lpstr>'F7'!Print_Area</vt:lpstr>
      <vt:lpstr>'F8'!Print_Area</vt:lpstr>
      <vt:lpstr>'F9'!Print_Area</vt:lpstr>
      <vt:lpstr>'F1'!Print_Titles</vt:lpstr>
      <vt:lpstr>F10_form_validator!Print_Titles</vt:lpstr>
      <vt:lpstr>F11_form_validator!Print_Titles</vt:lpstr>
      <vt:lpstr>F12_form_validator!Print_Titles</vt:lpstr>
      <vt:lpstr>'F2'!Print_Titles</vt:lpstr>
      <vt:lpstr>'F3'!Print_Titles</vt:lpstr>
      <vt:lpstr>'F4'!Print_Titles</vt:lpstr>
      <vt:lpstr>'F5'!Print_Titles</vt:lpstr>
      <vt:lpstr>'F6'!Print_Titles</vt:lpstr>
      <vt:lpstr>'F7'!Print_Titles</vt:lpstr>
      <vt:lpstr>'F8'!Print_Titles</vt:lpstr>
    </vt:vector>
  </TitlesOfParts>
  <Company>NTU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Radon Dhelika</dc:creator>
  <cp:lastModifiedBy>LAMPTKES-LAPTOP-11</cp:lastModifiedBy>
  <cp:lastPrinted>2014-06-12T18:45:31Z</cp:lastPrinted>
  <dcterms:created xsi:type="dcterms:W3CDTF">2009-07-06T01:37:37Z</dcterms:created>
  <dcterms:modified xsi:type="dcterms:W3CDTF">2016-06-16T04:58:39Z</dcterms:modified>
</cp:coreProperties>
</file>